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6" windowHeight="12300" tabRatio="595" activeTab="2"/>
  </bookViews>
  <sheets>
    <sheet name="прилож.3-школы" sheetId="1" r:id="rId1"/>
    <sheet name="прилож.4-школы" sheetId="2" r:id="rId2"/>
    <sheet name="прилож.3-сады" sheetId="5" r:id="rId3"/>
    <sheet name="прилож.4-сады" sheetId="4" r:id="rId4"/>
    <sheet name="прилож.3-ДДТ" sheetId="7" r:id="rId5"/>
    <sheet name="прилож.4-ДДТ" sheetId="8" r:id="rId6"/>
  </sheets>
  <calcPr calcId="162913"/>
</workbook>
</file>

<file path=xl/calcChain.xml><?xml version="1.0" encoding="utf-8"?>
<calcChain xmlns="http://schemas.openxmlformats.org/spreadsheetml/2006/main">
  <c r="U213" i="1" l="1"/>
  <c r="U198" i="1"/>
  <c r="T198" i="1"/>
  <c r="U197" i="1"/>
  <c r="T197" i="1"/>
  <c r="AE198" i="1"/>
  <c r="AD198" i="1"/>
  <c r="AC198" i="1"/>
  <c r="AB198" i="1" s="1"/>
  <c r="Z198" i="1"/>
  <c r="Y198" i="1"/>
  <c r="X198" i="1"/>
  <c r="W198" i="1" s="1"/>
  <c r="AE197" i="1"/>
  <c r="AD197" i="1"/>
  <c r="AC197" i="1"/>
  <c r="AB197" i="1" s="1"/>
  <c r="Z197" i="1"/>
  <c r="Y197" i="1"/>
  <c r="X197" i="1"/>
  <c r="W197" i="1" s="1"/>
  <c r="U187" i="1"/>
  <c r="T187" i="1"/>
  <c r="U186" i="1"/>
  <c r="T186" i="1"/>
  <c r="AE187" i="1"/>
  <c r="AD187" i="1"/>
  <c r="AC187" i="1"/>
  <c r="AB187" i="1"/>
  <c r="Z187" i="1"/>
  <c r="Y187" i="1"/>
  <c r="X187" i="1"/>
  <c r="W187" i="1"/>
  <c r="AE186" i="1"/>
  <c r="AD186" i="1"/>
  <c r="AC186" i="1"/>
  <c r="AB186" i="1"/>
  <c r="Z186" i="1"/>
  <c r="Y186" i="1"/>
  <c r="X186" i="1"/>
  <c r="W186" i="1"/>
  <c r="P187" i="1"/>
  <c r="P186" i="1"/>
  <c r="U182" i="1"/>
  <c r="T182" i="1"/>
  <c r="AE182" i="1"/>
  <c r="AD182" i="1"/>
  <c r="AC182" i="1"/>
  <c r="AB182" i="1" s="1"/>
  <c r="Z182" i="1"/>
  <c r="Y182" i="1"/>
  <c r="X182" i="1"/>
  <c r="W182" i="1" s="1"/>
  <c r="P182" i="1"/>
  <c r="U173" i="1"/>
  <c r="T173" i="1"/>
  <c r="AE173" i="1"/>
  <c r="AD173" i="1"/>
  <c r="AC173" i="1"/>
  <c r="AB173" i="1" s="1"/>
  <c r="Z173" i="1"/>
  <c r="Y173" i="1"/>
  <c r="X173" i="1"/>
  <c r="W173" i="1" s="1"/>
  <c r="P173" i="1"/>
  <c r="U172" i="1"/>
  <c r="T172" i="1"/>
  <c r="U168" i="1"/>
  <c r="T168" i="1"/>
  <c r="U163" i="1"/>
  <c r="T163" i="1"/>
  <c r="U161" i="1"/>
  <c r="R158" i="1"/>
  <c r="P158" i="1"/>
  <c r="O158" i="1"/>
  <c r="P155" i="1"/>
  <c r="U155" i="1"/>
  <c r="U152" i="1"/>
  <c r="T152" i="1"/>
  <c r="AE155" i="1"/>
  <c r="AD155" i="1"/>
  <c r="AC155" i="1"/>
  <c r="AB155" i="1"/>
  <c r="AE152" i="1"/>
  <c r="AD152" i="1"/>
  <c r="AC152" i="1"/>
  <c r="AB152" i="1" s="1"/>
  <c r="Z152" i="1"/>
  <c r="Y152" i="1"/>
  <c r="X152" i="1"/>
  <c r="W152" i="1" s="1"/>
  <c r="P152" i="1"/>
  <c r="U145" i="1"/>
  <c r="T145" i="1"/>
  <c r="AE145" i="1"/>
  <c r="AD145" i="1"/>
  <c r="AC145" i="1"/>
  <c r="AB145" i="1" s="1"/>
  <c r="Z145" i="1"/>
  <c r="Y145" i="1"/>
  <c r="X145" i="1"/>
  <c r="W145" i="1"/>
  <c r="P145" i="1"/>
  <c r="P144" i="1"/>
  <c r="U141" i="1"/>
  <c r="AE141" i="1"/>
  <c r="AD141" i="1"/>
  <c r="AC141" i="1"/>
  <c r="AB141" i="1"/>
  <c r="P141" i="1"/>
  <c r="U131" i="1"/>
  <c r="AC131" i="1"/>
  <c r="AD131" i="1"/>
  <c r="AE131" i="1"/>
  <c r="AB131" i="1"/>
  <c r="P131" i="1"/>
  <c r="U124" i="1"/>
  <c r="T124" i="1"/>
  <c r="U123" i="1"/>
  <c r="T123" i="1"/>
  <c r="P124" i="1"/>
  <c r="P123" i="1"/>
  <c r="U120" i="1"/>
  <c r="T120" i="1"/>
  <c r="O120" i="1"/>
  <c r="U117" i="1"/>
  <c r="T117" i="1"/>
  <c r="AE117" i="1"/>
  <c r="AD117" i="1"/>
  <c r="AC117" i="1"/>
  <c r="AB117" i="1" s="1"/>
  <c r="Z117" i="1"/>
  <c r="Y117" i="1"/>
  <c r="X117" i="1"/>
  <c r="W117" i="1" s="1"/>
  <c r="P117" i="1"/>
  <c r="P112" i="1"/>
  <c r="U109" i="1"/>
  <c r="T109" i="1"/>
  <c r="AE109" i="1"/>
  <c r="AD109" i="1"/>
  <c r="AC109" i="1"/>
  <c r="AB109" i="1" s="1"/>
  <c r="Z109" i="1"/>
  <c r="Y109" i="1"/>
  <c r="X109" i="1"/>
  <c r="W109" i="1" s="1"/>
  <c r="P109" i="1"/>
  <c r="U103" i="1"/>
  <c r="T103" i="1"/>
  <c r="AE103" i="1"/>
  <c r="AD103" i="1"/>
  <c r="AC103" i="1"/>
  <c r="AB103" i="1" s="1"/>
  <c r="Z103" i="1"/>
  <c r="Y103" i="1"/>
  <c r="X103" i="1"/>
  <c r="W103" i="1" s="1"/>
  <c r="P103" i="1"/>
  <c r="P102" i="1"/>
  <c r="U99" i="1"/>
  <c r="T99" i="1"/>
  <c r="AE99" i="1"/>
  <c r="AD99" i="1"/>
  <c r="AC99" i="1"/>
  <c r="AB99" i="1" s="1"/>
  <c r="Z99" i="1"/>
  <c r="Y99" i="1"/>
  <c r="X99" i="1"/>
  <c r="W99" i="1" s="1"/>
  <c r="P99" i="1"/>
  <c r="P91" i="1"/>
  <c r="P83" i="1"/>
  <c r="R82" i="1"/>
  <c r="P82" i="1"/>
  <c r="U80" i="1"/>
  <c r="O80" i="1"/>
  <c r="T80" i="1"/>
  <c r="U77" i="1"/>
  <c r="T77" i="1"/>
  <c r="AE77" i="1"/>
  <c r="AD77" i="1"/>
  <c r="AC77" i="1"/>
  <c r="AB77" i="1"/>
  <c r="Z77" i="1"/>
  <c r="Y77" i="1"/>
  <c r="X77" i="1"/>
  <c r="W77" i="1"/>
  <c r="P77" i="1"/>
  <c r="U74" i="1"/>
  <c r="T74" i="1"/>
  <c r="AE74" i="1"/>
  <c r="AD74" i="1"/>
  <c r="AC74" i="1"/>
  <c r="AB74" i="1"/>
  <c r="Z74" i="1"/>
  <c r="Y74" i="1"/>
  <c r="X74" i="1"/>
  <c r="W74" i="1"/>
  <c r="P74" i="1"/>
  <c r="U71" i="1"/>
  <c r="T71" i="1"/>
  <c r="AE71" i="1"/>
  <c r="AD71" i="1"/>
  <c r="AB71" i="1" s="1"/>
  <c r="AC71" i="1"/>
  <c r="Z71" i="1"/>
  <c r="Y71" i="1"/>
  <c r="X71" i="1"/>
  <c r="W71" i="1"/>
  <c r="P71" i="1"/>
  <c r="U69" i="1"/>
  <c r="T69" i="1"/>
  <c r="N69" i="1"/>
  <c r="O69" i="1"/>
  <c r="U63" i="1"/>
  <c r="T63" i="1"/>
  <c r="AE63" i="1"/>
  <c r="AD63" i="1"/>
  <c r="AC63" i="1"/>
  <c r="AB63" i="1" s="1"/>
  <c r="Z63" i="1"/>
  <c r="Y63" i="1"/>
  <c r="X63" i="1"/>
  <c r="W63" i="1" s="1"/>
  <c r="P63" i="1"/>
  <c r="P62" i="1"/>
  <c r="U59" i="1"/>
  <c r="T59" i="1"/>
  <c r="AE59" i="1"/>
  <c r="AD59" i="1"/>
  <c r="AC59" i="1"/>
  <c r="AB59" i="1"/>
  <c r="Z59" i="1"/>
  <c r="Y59" i="1"/>
  <c r="X59" i="1"/>
  <c r="W59" i="1"/>
  <c r="P59" i="1"/>
  <c r="U49" i="1"/>
  <c r="P49" i="1"/>
  <c r="U42" i="1"/>
  <c r="T42" i="1"/>
  <c r="U41" i="1"/>
  <c r="T41" i="1"/>
  <c r="P42" i="1"/>
  <c r="U38" i="1"/>
  <c r="T38" i="1"/>
  <c r="P35" i="1"/>
  <c r="U34" i="1"/>
  <c r="T34" i="1"/>
  <c r="AE34" i="1"/>
  <c r="AD34" i="1"/>
  <c r="AC34" i="1"/>
  <c r="AB34" i="1" s="1"/>
  <c r="Z34" i="1"/>
  <c r="Y34" i="1"/>
  <c r="X34" i="1"/>
  <c r="W34" i="1"/>
  <c r="P34" i="1"/>
  <c r="P31" i="1"/>
  <c r="U28" i="1"/>
  <c r="T28" i="1"/>
  <c r="AE28" i="1"/>
  <c r="AD28" i="1"/>
  <c r="AC28" i="1"/>
  <c r="AB28" i="1" s="1"/>
  <c r="Z28" i="1"/>
  <c r="Y28" i="1"/>
  <c r="X28" i="1"/>
  <c r="W28" i="1"/>
  <c r="P28" i="1"/>
  <c r="P22" i="1"/>
  <c r="P19" i="1"/>
  <c r="P9" i="1"/>
  <c r="R218" i="1" l="1"/>
  <c r="U243" i="1"/>
  <c r="U242" i="1"/>
  <c r="T243" i="1"/>
  <c r="T242" i="1"/>
  <c r="R240" i="1"/>
  <c r="AE240" i="1"/>
  <c r="Z240" i="1"/>
  <c r="X240" i="1"/>
  <c r="O240" i="1"/>
  <c r="AE236" i="1"/>
  <c r="AE230" i="1"/>
  <c r="Z230" i="1"/>
  <c r="AE229" i="1"/>
  <c r="AC229" i="1"/>
  <c r="Z229" i="1"/>
  <c r="X229" i="1"/>
  <c r="R230" i="1"/>
  <c r="R229" i="1"/>
  <c r="O229" i="1"/>
  <c r="I237" i="1"/>
  <c r="H237" i="1"/>
  <c r="G237" i="1"/>
  <c r="I232" i="1"/>
  <c r="H232" i="1"/>
  <c r="Z236" i="1"/>
  <c r="R236" i="1"/>
  <c r="G236" i="1"/>
  <c r="U226" i="1"/>
  <c r="T226" i="1"/>
  <c r="U225" i="1"/>
  <c r="T225" i="1"/>
  <c r="U220" i="1"/>
  <c r="T220" i="1"/>
  <c r="U222" i="1"/>
  <c r="U223" i="1"/>
  <c r="U224" i="1"/>
  <c r="U221" i="1"/>
  <c r="T224" i="1"/>
  <c r="T222" i="1"/>
  <c r="T223" i="1"/>
  <c r="AE217" i="1"/>
  <c r="Z217" i="1"/>
  <c r="AE218" i="1"/>
  <c r="AC218" i="1"/>
  <c r="Z218" i="1"/>
  <c r="X218" i="1"/>
  <c r="O218" i="1"/>
  <c r="I221" i="1"/>
  <c r="H222" i="1"/>
  <c r="G222" i="1"/>
  <c r="R217" i="1"/>
  <c r="R225" i="1"/>
  <c r="P198" i="1"/>
  <c r="P197" i="1"/>
  <c r="I197" i="1"/>
  <c r="H197" i="1"/>
  <c r="G197" i="1"/>
  <c r="P202" i="1"/>
  <c r="R193" i="1"/>
  <c r="P193" i="1"/>
  <c r="I186" i="1"/>
  <c r="H186" i="1"/>
  <c r="G186" i="1"/>
  <c r="G196" i="1" s="1"/>
  <c r="I173" i="1"/>
  <c r="H173" i="1"/>
  <c r="G173" i="1"/>
  <c r="I136" i="1"/>
  <c r="H136" i="1"/>
  <c r="G136" i="1"/>
  <c r="I134" i="1"/>
  <c r="H134" i="1"/>
  <c r="I141" i="1"/>
  <c r="H141" i="1"/>
  <c r="G141" i="1"/>
  <c r="G102" i="1"/>
  <c r="I102" i="1"/>
  <c r="H102" i="1"/>
  <c r="I108" i="1"/>
  <c r="H108" i="1"/>
  <c r="I103" i="1"/>
  <c r="H103" i="1"/>
  <c r="G103" i="1"/>
  <c r="G108" i="1"/>
  <c r="I99" i="1"/>
  <c r="H99" i="1"/>
  <c r="I97" i="1"/>
  <c r="I95" i="1"/>
  <c r="H97" i="1"/>
  <c r="H95" i="1"/>
  <c r="G91" i="1"/>
  <c r="G99" i="1"/>
  <c r="G95" i="1"/>
  <c r="I22" i="1"/>
  <c r="H22" i="1"/>
  <c r="I25" i="1"/>
  <c r="H25" i="1"/>
  <c r="G22" i="1"/>
  <c r="G25" i="1"/>
  <c r="I9" i="1"/>
  <c r="H9" i="1"/>
  <c r="I19" i="1"/>
  <c r="H19" i="1"/>
  <c r="I14" i="1"/>
  <c r="G9" i="1"/>
  <c r="I78" i="5" l="1"/>
  <c r="H78" i="5"/>
  <c r="G78" i="5"/>
  <c r="I77" i="5"/>
  <c r="H77" i="5"/>
  <c r="G77" i="5"/>
  <c r="I76" i="5"/>
  <c r="H76" i="5"/>
  <c r="G76" i="5"/>
  <c r="I75" i="5"/>
  <c r="H75" i="5"/>
  <c r="G75" i="5"/>
  <c r="G60" i="5"/>
  <c r="G29" i="5"/>
  <c r="G35" i="5"/>
  <c r="G28" i="5"/>
  <c r="G70" i="5" l="1"/>
  <c r="I74" i="5"/>
  <c r="H74" i="5"/>
  <c r="G74" i="5"/>
  <c r="G72" i="5"/>
  <c r="I60" i="5"/>
  <c r="H60" i="5"/>
  <c r="G66" i="5"/>
  <c r="AD236" i="1"/>
  <c r="AC236" i="1"/>
  <c r="AB236" i="1" s="1"/>
  <c r="U236" i="1" s="1"/>
  <c r="Y236" i="1"/>
  <c r="X236" i="1"/>
  <c r="W236" i="1" s="1"/>
  <c r="T236" i="1" s="1"/>
  <c r="W14" i="2" l="1"/>
  <c r="W13" i="2"/>
  <c r="W12" i="2"/>
  <c r="W11" i="2"/>
  <c r="W10" i="2"/>
  <c r="X16" i="2"/>
  <c r="J18" i="4" l="1"/>
  <c r="H18" i="7"/>
  <c r="G18" i="7"/>
  <c r="D18" i="7"/>
  <c r="U20" i="4" l="1"/>
  <c r="U19" i="4"/>
  <c r="U17" i="4"/>
  <c r="U15" i="4"/>
  <c r="I84" i="5"/>
  <c r="H84" i="5"/>
  <c r="N84" i="5"/>
  <c r="G84" i="5"/>
  <c r="I132" i="5"/>
  <c r="H132" i="5"/>
  <c r="N132" i="5"/>
  <c r="G132" i="5"/>
  <c r="I157" i="5"/>
  <c r="H157" i="5"/>
  <c r="N157" i="5"/>
  <c r="G157" i="5"/>
  <c r="I174" i="5"/>
  <c r="H174" i="5"/>
  <c r="N174" i="5"/>
  <c r="G174" i="5"/>
  <c r="J18" i="7" l="1"/>
  <c r="N11" i="7" l="1"/>
  <c r="L11" i="7"/>
  <c r="J11" i="7"/>
  <c r="N13" i="7"/>
  <c r="L13" i="7"/>
  <c r="J13" i="7"/>
  <c r="T137" i="5" l="1"/>
  <c r="T135" i="5"/>
  <c r="Q137" i="5"/>
  <c r="Q135" i="5"/>
  <c r="Q12" i="5"/>
  <c r="Q13" i="5"/>
  <c r="T13" i="5"/>
  <c r="T42" i="5" l="1"/>
  <c r="T12" i="5" l="1"/>
  <c r="Q42" i="5" l="1"/>
  <c r="Q45" i="5"/>
  <c r="I54" i="5"/>
  <c r="G54" i="5"/>
  <c r="I53" i="5"/>
  <c r="H53" i="5"/>
  <c r="H54" i="5" s="1"/>
  <c r="G53" i="5"/>
  <c r="Q134" i="5"/>
  <c r="Q142" i="5" l="1"/>
  <c r="N164" i="5"/>
  <c r="N149" i="5" l="1"/>
  <c r="K139" i="5"/>
  <c r="M139" i="5" s="1"/>
  <c r="N139" i="5"/>
  <c r="O139" i="5"/>
  <c r="Q139" i="5"/>
  <c r="T139" i="5"/>
  <c r="U139" i="5" s="1"/>
  <c r="V139" i="5" s="1"/>
  <c r="N112" i="5"/>
  <c r="N109" i="5"/>
  <c r="N89" i="5"/>
  <c r="N61" i="5"/>
  <c r="K48" i="5"/>
  <c r="M48" i="5" s="1"/>
  <c r="N48" i="5"/>
  <c r="Q48" i="5"/>
  <c r="N46" i="5"/>
  <c r="N43" i="5"/>
  <c r="N31" i="5"/>
  <c r="N28" i="5"/>
  <c r="K19" i="5"/>
  <c r="M19" i="5" s="1"/>
  <c r="N19" i="5"/>
  <c r="Q19" i="5"/>
  <c r="T48" i="5" l="1"/>
  <c r="U48" i="5" s="1"/>
  <c r="V48" i="5" s="1"/>
  <c r="O48" i="5"/>
  <c r="T19" i="5"/>
  <c r="U19" i="5" s="1"/>
  <c r="V19" i="5" s="1"/>
  <c r="O19" i="5"/>
  <c r="I137" i="5" l="1"/>
  <c r="H137" i="5"/>
  <c r="G137" i="5"/>
  <c r="H141" i="5"/>
  <c r="I141" i="5"/>
  <c r="G141" i="5"/>
  <c r="H206" i="1"/>
  <c r="I206" i="1"/>
  <c r="G206" i="1"/>
  <c r="I202" i="1"/>
  <c r="G202" i="1"/>
  <c r="H202" i="1"/>
  <c r="G198" i="1"/>
  <c r="I176" i="1"/>
  <c r="H176" i="1"/>
  <c r="G176" i="1"/>
  <c r="H220" i="1"/>
  <c r="G111" i="1"/>
  <c r="H52" i="1"/>
  <c r="I52" i="1"/>
  <c r="G53" i="1"/>
  <c r="G51" i="1"/>
  <c r="G49" i="1"/>
  <c r="I28" i="1"/>
  <c r="H28" i="1"/>
  <c r="I39" i="1"/>
  <c r="H39" i="1"/>
  <c r="G39" i="1"/>
  <c r="L39" i="5"/>
  <c r="L22" i="5"/>
  <c r="H111" i="1" l="1"/>
  <c r="G142" i="5"/>
  <c r="N137" i="5"/>
  <c r="H32" i="5"/>
  <c r="I18" i="5"/>
  <c r="H18" i="5"/>
  <c r="I16" i="5"/>
  <c r="H16" i="5"/>
  <c r="I15" i="5"/>
  <c r="H15" i="5"/>
  <c r="I20" i="5"/>
  <c r="H20" i="5"/>
  <c r="G20" i="5"/>
  <c r="G22" i="5" s="1"/>
  <c r="G163" i="5"/>
  <c r="I150" i="5"/>
  <c r="H150" i="5"/>
  <c r="I151" i="5"/>
  <c r="H151" i="5"/>
  <c r="G151" i="5"/>
  <c r="I148" i="5"/>
  <c r="H148" i="5"/>
  <c r="G148" i="5"/>
  <c r="I103" i="5"/>
  <c r="H103" i="5"/>
  <c r="G103" i="5"/>
  <c r="H22" i="5" l="1"/>
  <c r="I22" i="5"/>
  <c r="G154" i="5"/>
  <c r="I107" i="5"/>
  <c r="H107" i="5"/>
  <c r="G107" i="5"/>
  <c r="I90" i="5"/>
  <c r="H90" i="5"/>
  <c r="G90" i="5"/>
  <c r="I72" i="5"/>
  <c r="H72" i="5"/>
  <c r="I70" i="5"/>
  <c r="H70" i="5"/>
  <c r="I59" i="5"/>
  <c r="H59" i="5"/>
  <c r="I62" i="5"/>
  <c r="H62" i="5"/>
  <c r="I63" i="5"/>
  <c r="N72" i="5" l="1"/>
  <c r="G81" i="5"/>
  <c r="H63" i="5"/>
  <c r="G23" i="5" l="1"/>
  <c r="L40" i="5" l="1"/>
  <c r="G154" i="1"/>
  <c r="BU18" i="7" l="1"/>
  <c r="BS10" i="7" s="1"/>
  <c r="BP18" i="7" l="1"/>
  <c r="BN10" i="7" s="1"/>
  <c r="BU9" i="7" s="1"/>
  <c r="U21" i="4" l="1"/>
  <c r="J83" i="5" l="1"/>
  <c r="H15" i="4"/>
  <c r="H19" i="4"/>
  <c r="H17" i="4"/>
  <c r="H20" i="4" l="1"/>
  <c r="N185" i="5"/>
  <c r="BK14" i="7"/>
  <c r="BK16" i="7"/>
  <c r="BK15" i="7"/>
  <c r="BK13" i="7"/>
  <c r="BK12" i="7"/>
  <c r="BK11" i="7"/>
  <c r="BG14" i="7"/>
  <c r="BG13" i="7"/>
  <c r="BG16" i="7"/>
  <c r="BG15" i="7"/>
  <c r="BG12" i="7"/>
  <c r="BG11" i="7"/>
  <c r="BJ15" i="7"/>
  <c r="N15" i="7" s="1"/>
  <c r="F17" i="8" s="1"/>
  <c r="BF15" i="7"/>
  <c r="L15" i="7" s="1"/>
  <c r="E17" i="8" s="1"/>
  <c r="BJ16" i="7"/>
  <c r="N16" i="7" s="1"/>
  <c r="F18" i="8" s="1"/>
  <c r="BF16" i="7"/>
  <c r="BJ14" i="7"/>
  <c r="BF14" i="7"/>
  <c r="BJ13" i="7"/>
  <c r="BF13" i="7"/>
  <c r="BJ12" i="7"/>
  <c r="BF12" i="7"/>
  <c r="BJ11" i="7"/>
  <c r="BF11" i="7"/>
  <c r="BL16" i="7"/>
  <c r="BH13" i="7"/>
  <c r="BC16" i="7"/>
  <c r="BC13" i="7"/>
  <c r="BC15" i="7"/>
  <c r="BC14" i="7"/>
  <c r="BC12" i="7"/>
  <c r="BC11" i="7"/>
  <c r="BD18" i="7"/>
  <c r="BB16" i="7"/>
  <c r="BB15" i="7"/>
  <c r="BB14" i="7"/>
  <c r="BD14" i="7" s="1"/>
  <c r="BB13" i="7"/>
  <c r="BB12" i="7"/>
  <c r="BB11" i="7"/>
  <c r="GF62" i="7"/>
  <c r="GE62" i="7"/>
  <c r="GG61" i="7"/>
  <c r="GG62" i="7" s="1"/>
  <c r="GF60" i="7"/>
  <c r="GE60" i="7"/>
  <c r="GE64" i="7" s="1"/>
  <c r="GE65" i="7" s="1"/>
  <c r="FY57" i="7"/>
  <c r="FY58" i="7" s="1"/>
  <c r="GA50" i="7" s="1"/>
  <c r="GG54" i="7"/>
  <c r="GG53" i="7"/>
  <c r="GD53" i="7"/>
  <c r="GE53" i="7" s="1"/>
  <c r="GA53" i="7"/>
  <c r="FZ52" i="7"/>
  <c r="FZ50" i="7"/>
  <c r="GX38" i="7"/>
  <c r="GW38" i="7"/>
  <c r="GX36" i="7"/>
  <c r="GW36" i="7"/>
  <c r="GW40" i="7" s="1"/>
  <c r="GW41" i="7" s="1"/>
  <c r="IM35" i="7"/>
  <c r="IM32" i="7"/>
  <c r="N31" i="7"/>
  <c r="L31" i="7"/>
  <c r="GY30" i="7"/>
  <c r="GY29" i="7"/>
  <c r="GV29" i="7"/>
  <c r="GW29" i="7" s="1"/>
  <c r="GH28" i="7"/>
  <c r="GG31" i="7" s="1"/>
  <c r="IN27" i="7"/>
  <c r="IM27" i="7"/>
  <c r="GL26" i="7"/>
  <c r="GK26" i="7"/>
  <c r="EU25" i="7"/>
  <c r="EW25" i="7" s="1"/>
  <c r="GE24" i="7"/>
  <c r="GD24" i="7"/>
  <c r="L23" i="7"/>
  <c r="N23" i="7" s="1"/>
  <c r="H23" i="7"/>
  <c r="G23" i="7"/>
  <c r="F23" i="7"/>
  <c r="E23" i="7"/>
  <c r="D23" i="7"/>
  <c r="H22" i="7"/>
  <c r="G22" i="7"/>
  <c r="F22" i="7"/>
  <c r="E22" i="7"/>
  <c r="D22" i="7"/>
  <c r="GE20" i="7"/>
  <c r="GD20" i="7"/>
  <c r="H20" i="7"/>
  <c r="G20" i="7"/>
  <c r="F20" i="7"/>
  <c r="E20" i="7"/>
  <c r="D20" i="7"/>
  <c r="GW19" i="7"/>
  <c r="GI19" i="7"/>
  <c r="EP19" i="7"/>
  <c r="EQ19" i="7" s="1"/>
  <c r="I19" i="7"/>
  <c r="F19" i="7"/>
  <c r="E19" i="7"/>
  <c r="D19" i="7"/>
  <c r="JD18" i="7"/>
  <c r="JC18" i="7"/>
  <c r="GH18" i="7"/>
  <c r="GI24" i="7" s="1"/>
  <c r="GG18" i="7"/>
  <c r="GE18" i="7"/>
  <c r="GD18" i="7"/>
  <c r="FG18" i="7"/>
  <c r="FD18" i="7"/>
  <c r="ED18" i="7"/>
  <c r="EE18" i="7" s="1"/>
  <c r="DS18" i="7"/>
  <c r="DT18" i="7" s="1"/>
  <c r="DG18" i="7"/>
  <c r="DH18" i="7" s="1"/>
  <c r="CT18" i="7"/>
  <c r="CU18" i="7" s="1"/>
  <c r="CL18" i="7"/>
  <c r="CF18" i="7"/>
  <c r="AU18" i="7"/>
  <c r="AQ18" i="7"/>
  <c r="AF18" i="7"/>
  <c r="Z18" i="7"/>
  <c r="Y18" i="7"/>
  <c r="V18" i="7"/>
  <c r="U18" i="7"/>
  <c r="S18" i="7"/>
  <c r="M19" i="7"/>
  <c r="K19" i="7"/>
  <c r="H19" i="7"/>
  <c r="G19" i="7"/>
  <c r="GY37" i="7"/>
  <c r="GY38" i="7" s="1"/>
  <c r="GF18" i="7"/>
  <c r="GI28" i="7"/>
  <c r="EQ18" i="7"/>
  <c r="JC17" i="7"/>
  <c r="IJ17" i="7"/>
  <c r="II17" i="7"/>
  <c r="IG17" i="7"/>
  <c r="CN17" i="7"/>
  <c r="CD17" i="7"/>
  <c r="Y17" i="7"/>
  <c r="U17" i="7"/>
  <c r="Q17" i="7"/>
  <c r="F17" i="7"/>
  <c r="E17" i="7"/>
  <c r="D17" i="7"/>
  <c r="IK16" i="7"/>
  <c r="IJ16" i="7" s="1"/>
  <c r="GP16" i="7"/>
  <c r="GK16" i="7"/>
  <c r="GF16" i="7"/>
  <c r="FF16" i="7"/>
  <c r="FE16" i="7"/>
  <c r="FC16" i="7"/>
  <c r="FB16" i="7"/>
  <c r="FG16" i="7" s="1"/>
  <c r="ER16" i="7"/>
  <c r="EP16" i="7"/>
  <c r="EQ16" i="7" s="1"/>
  <c r="EF16" i="7"/>
  <c r="ED16" i="7"/>
  <c r="EE16" i="7" s="1"/>
  <c r="DU16" i="7"/>
  <c r="DR15" i="7" s="1"/>
  <c r="DS16" i="7"/>
  <c r="DT16" i="7" s="1"/>
  <c r="DI16" i="7"/>
  <c r="DM15" i="7" s="1"/>
  <c r="DG16" i="7"/>
  <c r="DH16" i="7" s="1"/>
  <c r="CZ16" i="7"/>
  <c r="DA16" i="7" s="1"/>
  <c r="CT16" i="7"/>
  <c r="CU16" i="7" s="1"/>
  <c r="CL16" i="7"/>
  <c r="CF16" i="7"/>
  <c r="Z16" i="7"/>
  <c r="AA16" i="7" s="1"/>
  <c r="V16" i="7"/>
  <c r="W16" i="7" s="1"/>
  <c r="S16" i="7"/>
  <c r="IK15" i="7"/>
  <c r="HB15" i="7"/>
  <c r="FF15" i="7"/>
  <c r="FE15" i="7"/>
  <c r="FC15" i="7"/>
  <c r="FB15" i="7"/>
  <c r="ER15" i="7"/>
  <c r="FY15" i="7" s="1"/>
  <c r="EP15" i="7"/>
  <c r="EQ15" i="7" s="1"/>
  <c r="EF15" i="7"/>
  <c r="ED15" i="7"/>
  <c r="EE15" i="7" s="1"/>
  <c r="DX15" i="7"/>
  <c r="DS15" i="7"/>
  <c r="DT15" i="7" s="1"/>
  <c r="DG15" i="7"/>
  <c r="DH15" i="7" s="1"/>
  <c r="DF15" i="7"/>
  <c r="CZ15" i="7"/>
  <c r="DA15" i="7" s="1"/>
  <c r="CT15" i="7"/>
  <c r="CU15" i="7" s="1"/>
  <c r="CS15" i="7"/>
  <c r="CL15" i="7"/>
  <c r="CJ15" i="7"/>
  <c r="CF15" i="7"/>
  <c r="Z15" i="7"/>
  <c r="AA15" i="7" s="1"/>
  <c r="V15" i="7"/>
  <c r="W15" i="7" s="1"/>
  <c r="S15" i="7"/>
  <c r="IK14" i="7"/>
  <c r="HB14" i="7"/>
  <c r="FF14" i="7"/>
  <c r="FE14" i="7"/>
  <c r="FC14" i="7"/>
  <c r="FB14" i="7"/>
  <c r="ER14" i="7"/>
  <c r="EP14" i="7"/>
  <c r="EQ14" i="7" s="1"/>
  <c r="EF14" i="7"/>
  <c r="ED14" i="7"/>
  <c r="EE14" i="7" s="1"/>
  <c r="DU14" i="7"/>
  <c r="DS14" i="7"/>
  <c r="DT14" i="7" s="1"/>
  <c r="DI14" i="7"/>
  <c r="DG14" i="7"/>
  <c r="DH14" i="7" s="1"/>
  <c r="CZ14" i="7"/>
  <c r="DA14" i="7" s="1"/>
  <c r="CX14" i="7"/>
  <c r="CX17" i="7" s="1"/>
  <c r="CT14" i="7"/>
  <c r="CU14" i="7" s="1"/>
  <c r="CQ14" i="7"/>
  <c r="CP14" i="7"/>
  <c r="CL14" i="7"/>
  <c r="CF14" i="7"/>
  <c r="Z14" i="7"/>
  <c r="AA14" i="7" s="1"/>
  <c r="V14" i="7"/>
  <c r="W14" i="7" s="1"/>
  <c r="S14" i="7"/>
  <c r="L14" i="7"/>
  <c r="E16" i="8" s="1"/>
  <c r="IK13" i="7"/>
  <c r="IJ13" i="7" s="1"/>
  <c r="HB13" i="7"/>
  <c r="GP13" i="7"/>
  <c r="GK13" i="7"/>
  <c r="GG13" i="7"/>
  <c r="GF13" i="7"/>
  <c r="FF13" i="7"/>
  <c r="FE13" i="7"/>
  <c r="FC13" i="7"/>
  <c r="FB13" i="7"/>
  <c r="ER13" i="7"/>
  <c r="EP13" i="7"/>
  <c r="EQ13" i="7" s="1"/>
  <c r="EF13" i="7"/>
  <c r="ED13" i="7"/>
  <c r="EE13" i="7" s="1"/>
  <c r="DU13" i="7"/>
  <c r="DS13" i="7"/>
  <c r="DT13" i="7" s="1"/>
  <c r="DI13" i="7"/>
  <c r="DG13" i="7"/>
  <c r="DH13" i="7" s="1"/>
  <c r="CZ13" i="7"/>
  <c r="DA13" i="7" s="1"/>
  <c r="CX13" i="7"/>
  <c r="CT13" i="7"/>
  <c r="CU13" i="7" s="1"/>
  <c r="CP13" i="7"/>
  <c r="CL13" i="7"/>
  <c r="CF13" i="7"/>
  <c r="AA13" i="7"/>
  <c r="V13" i="7"/>
  <c r="W13" i="7" s="1"/>
  <c r="S13" i="7"/>
  <c r="IK12" i="7"/>
  <c r="HB12" i="7"/>
  <c r="GG12" i="7"/>
  <c r="FF12" i="7"/>
  <c r="FE12" i="7"/>
  <c r="FC12" i="7"/>
  <c r="FB12" i="7"/>
  <c r="EP12" i="7"/>
  <c r="EQ12" i="7" s="1"/>
  <c r="ED12" i="7"/>
  <c r="EE12" i="7" s="1"/>
  <c r="DS12" i="7"/>
  <c r="DT12" i="7" s="1"/>
  <c r="DG12" i="7"/>
  <c r="DH12" i="7" s="1"/>
  <c r="CZ12" i="7"/>
  <c r="DA12" i="7" s="1"/>
  <c r="CT12" i="7"/>
  <c r="CU12" i="7" s="1"/>
  <c r="CL12" i="7"/>
  <c r="CF12" i="7"/>
  <c r="Z12" i="7"/>
  <c r="AA12" i="7" s="1"/>
  <c r="V12" i="7"/>
  <c r="W12" i="7" s="1"/>
  <c r="S12" i="7"/>
  <c r="IK11" i="7"/>
  <c r="IJ11" i="7" s="1"/>
  <c r="HH11" i="7"/>
  <c r="HD11" i="7"/>
  <c r="HB11" i="7"/>
  <c r="GZ11" i="7"/>
  <c r="GZ12" i="7" s="1"/>
  <c r="GG11" i="7"/>
  <c r="GL11" i="7" s="1"/>
  <c r="FF11" i="7"/>
  <c r="FC11" i="7"/>
  <c r="FB11" i="7"/>
  <c r="EP11" i="7"/>
  <c r="EQ11" i="7" s="1"/>
  <c r="ED11" i="7"/>
  <c r="EE11" i="7" s="1"/>
  <c r="DS11" i="7"/>
  <c r="DT11" i="7" s="1"/>
  <c r="DG11" i="7"/>
  <c r="DH11" i="7" s="1"/>
  <c r="CZ11" i="7"/>
  <c r="DA11" i="7" s="1"/>
  <c r="CT11" i="7"/>
  <c r="CU11" i="7" s="1"/>
  <c r="CS11" i="7"/>
  <c r="CL11" i="7"/>
  <c r="CJ11" i="7"/>
  <c r="CF11" i="7"/>
  <c r="Z11" i="7"/>
  <c r="AA11" i="7" s="1"/>
  <c r="V11" i="7"/>
  <c r="W11" i="7" s="1"/>
  <c r="S11" i="7"/>
  <c r="E13" i="8"/>
  <c r="DI10" i="7"/>
  <c r="HY9" i="7"/>
  <c r="HX11" i="7" s="1"/>
  <c r="HR9" i="7"/>
  <c r="HQ11" i="7" s="1"/>
  <c r="HQ12" i="7" s="1"/>
  <c r="HM9" i="7"/>
  <c r="HL11" i="7" s="1"/>
  <c r="HB9" i="7"/>
  <c r="CU9" i="7"/>
  <c r="AY9" i="7"/>
  <c r="AY10" i="7" s="1"/>
  <c r="AO9" i="7"/>
  <c r="AU9" i="7" s="1"/>
  <c r="AU10" i="7" s="1"/>
  <c r="AD9" i="7"/>
  <c r="H21" i="4" l="1"/>
  <c r="CL17" i="7"/>
  <c r="DF11" i="7"/>
  <c r="DR11" i="7"/>
  <c r="DR16" i="7" s="1"/>
  <c r="FG14" i="7"/>
  <c r="L12" i="7"/>
  <c r="E14" i="8" s="1"/>
  <c r="BD16" i="7"/>
  <c r="BL11" i="7"/>
  <c r="BL13" i="7"/>
  <c r="J19" i="7"/>
  <c r="C20" i="8"/>
  <c r="D20" i="8" s="1"/>
  <c r="D21" i="8" s="1"/>
  <c r="HL12" i="7"/>
  <c r="CF17" i="7"/>
  <c r="CE17" i="7" s="1"/>
  <c r="FB17" i="7"/>
  <c r="HD12" i="7"/>
  <c r="FD15" i="7"/>
  <c r="BB17" i="7"/>
  <c r="BU10" i="7" s="1"/>
  <c r="BL15" i="7"/>
  <c r="C21" i="8"/>
  <c r="DT17" i="7"/>
  <c r="GA47" i="7"/>
  <c r="GB50" i="7"/>
  <c r="GA51" i="7" s="1"/>
  <c r="JD17" i="7"/>
  <c r="JE17" i="7" s="1"/>
  <c r="H17" i="7"/>
  <c r="BJ17" i="7"/>
  <c r="F13" i="8"/>
  <c r="W17" i="7"/>
  <c r="V17" i="7" s="1"/>
  <c r="CU17" i="7"/>
  <c r="CU19" i="7" s="1"/>
  <c r="CU24" i="7" s="1"/>
  <c r="EQ17" i="7"/>
  <c r="FD12" i="7"/>
  <c r="FG12" i="7"/>
  <c r="EC11" i="7"/>
  <c r="EC13" i="7" s="1"/>
  <c r="L16" i="7"/>
  <c r="E18" i="8" s="1"/>
  <c r="N12" i="7"/>
  <c r="F14" i="8" s="1"/>
  <c r="BL14" i="7"/>
  <c r="DX14" i="7"/>
  <c r="DW17" i="7" s="1"/>
  <c r="DW13" i="7"/>
  <c r="DU10" i="7"/>
  <c r="FY14" i="7"/>
  <c r="FX13" i="7"/>
  <c r="EO11" i="7"/>
  <c r="EO13" i="7" s="1"/>
  <c r="ER10" i="7"/>
  <c r="EI15" i="7"/>
  <c r="EC15" i="7"/>
  <c r="IM15" i="7"/>
  <c r="IJ15" i="7"/>
  <c r="AI9" i="7"/>
  <c r="AI10" i="7" s="1"/>
  <c r="AH13" i="7" s="1"/>
  <c r="AI13" i="7" s="1"/>
  <c r="EF10" i="7"/>
  <c r="AA17" i="7"/>
  <c r="Z17" i="7" s="1"/>
  <c r="DA17" i="7"/>
  <c r="CU25" i="7" s="1"/>
  <c r="EE17" i="7"/>
  <c r="FG11" i="7"/>
  <c r="GL12" i="7"/>
  <c r="GQ12" i="7" s="1"/>
  <c r="GR12" i="7" s="1"/>
  <c r="GH12" i="7"/>
  <c r="HF12" i="7" s="1"/>
  <c r="HE12" i="7" s="1"/>
  <c r="IM12" i="7"/>
  <c r="IJ12" i="7"/>
  <c r="F15" i="8"/>
  <c r="EU14" i="7"/>
  <c r="EW14" i="7" s="1"/>
  <c r="IM14" i="7"/>
  <c r="IO14" i="7" s="1"/>
  <c r="IJ14" i="7"/>
  <c r="GA17" i="7"/>
  <c r="EK17" i="7"/>
  <c r="ED9" i="7" s="1"/>
  <c r="E15" i="8"/>
  <c r="S17" i="7"/>
  <c r="R17" i="7" s="1"/>
  <c r="DH17" i="7"/>
  <c r="FD11" i="7"/>
  <c r="HH12" i="7"/>
  <c r="FD13" i="7"/>
  <c r="FD14" i="7"/>
  <c r="FG15" i="7"/>
  <c r="FD16" i="7"/>
  <c r="EP18" i="7"/>
  <c r="W18" i="7"/>
  <c r="AA18" i="7"/>
  <c r="IO27" i="7"/>
  <c r="IO28" i="7" s="1"/>
  <c r="FY60" i="7"/>
  <c r="BD15" i="7"/>
  <c r="BD13" i="7"/>
  <c r="BH11" i="7"/>
  <c r="BH12" i="7"/>
  <c r="BL12" i="7"/>
  <c r="BH14" i="7"/>
  <c r="BD12" i="7"/>
  <c r="N14" i="7"/>
  <c r="F16" i="8" s="1"/>
  <c r="G17" i="7"/>
  <c r="BH15" i="7"/>
  <c r="BF17" i="7"/>
  <c r="BH16" i="7"/>
  <c r="BL17" i="7"/>
  <c r="EJ15" i="7"/>
  <c r="FZ15" i="7" s="1"/>
  <c r="GA15" i="7" s="1"/>
  <c r="GG32" i="7"/>
  <c r="FZ53" i="7"/>
  <c r="BD11" i="7"/>
  <c r="BD17" i="7" s="1"/>
  <c r="FX17" i="7"/>
  <c r="GF14" i="7" s="1"/>
  <c r="EK15" i="7"/>
  <c r="L33" i="7"/>
  <c r="JF17" i="7"/>
  <c r="HX12" i="7"/>
  <c r="GM11" i="7"/>
  <c r="GQ11" i="7"/>
  <c r="GR11" i="7" s="1"/>
  <c r="HJ12" i="7"/>
  <c r="CJ16" i="7"/>
  <c r="CJ13" i="7"/>
  <c r="DF16" i="7"/>
  <c r="DF13" i="7"/>
  <c r="EC16" i="7"/>
  <c r="GH11" i="7"/>
  <c r="HA11" i="7" s="1"/>
  <c r="DM14" i="7"/>
  <c r="DM16" i="7" s="1"/>
  <c r="DK13" i="7"/>
  <c r="FG13" i="7"/>
  <c r="FG17" i="7" s="1"/>
  <c r="GP14" i="7"/>
  <c r="IM13" i="7"/>
  <c r="IL14" i="7"/>
  <c r="AH15" i="7"/>
  <c r="AI15" i="7" s="1"/>
  <c r="CS16" i="7"/>
  <c r="CS13" i="7"/>
  <c r="AH12" i="7"/>
  <c r="AI12" i="7" s="1"/>
  <c r="DR13" i="7"/>
  <c r="DR14" i="7" s="1"/>
  <c r="EI14" i="7"/>
  <c r="EH13" i="7"/>
  <c r="GL13" i="7"/>
  <c r="GH13" i="7"/>
  <c r="FY16" i="7"/>
  <c r="GG16" i="7" s="1"/>
  <c r="GG15" i="7"/>
  <c r="IK17" i="7"/>
  <c r="IM11" i="7"/>
  <c r="DB14" i="7"/>
  <c r="DB15" i="7" s="1"/>
  <c r="DB17" i="7" s="1"/>
  <c r="DC17" i="7" s="1"/>
  <c r="GA14" i="7"/>
  <c r="GG14" i="7"/>
  <c r="EO15" i="7"/>
  <c r="EO16" i="7" s="1"/>
  <c r="EU15" i="7"/>
  <c r="AH16" i="7"/>
  <c r="AI16" i="7" s="1"/>
  <c r="IM16" i="7"/>
  <c r="DT19" i="7"/>
  <c r="EI16" i="7"/>
  <c r="JC19" i="7"/>
  <c r="JD19" i="7" s="1"/>
  <c r="AF29" i="7"/>
  <c r="AA19" i="7"/>
  <c r="N18" i="7"/>
  <c r="GB51" i="7"/>
  <c r="JE18" i="7"/>
  <c r="EQ20" i="7"/>
  <c r="AF30" i="7"/>
  <c r="L18" i="7"/>
  <c r="H81" i="1"/>
  <c r="I80" i="1"/>
  <c r="H80" i="1"/>
  <c r="I161" i="1"/>
  <c r="H161" i="1"/>
  <c r="I205" i="1"/>
  <c r="H205" i="1"/>
  <c r="I246" i="1"/>
  <c r="H246" i="1"/>
  <c r="E246" i="1"/>
  <c r="E205" i="1"/>
  <c r="E161" i="1"/>
  <c r="E38" i="1"/>
  <c r="G38" i="1" s="1"/>
  <c r="P210" i="1"/>
  <c r="AD240" i="1"/>
  <c r="Y240" i="1"/>
  <c r="P240" i="1"/>
  <c r="AD230" i="1"/>
  <c r="AD229" i="1"/>
  <c r="Y230" i="1"/>
  <c r="Y229" i="1"/>
  <c r="P230" i="1"/>
  <c r="P229" i="1"/>
  <c r="P218" i="1"/>
  <c r="P217" i="1"/>
  <c r="AD218" i="1"/>
  <c r="AD217" i="1"/>
  <c r="Y218" i="1"/>
  <c r="Y217" i="1"/>
  <c r="L17" i="7" l="1"/>
  <c r="E19" i="8"/>
  <c r="BC17" i="7"/>
  <c r="BP9" i="7"/>
  <c r="BP10" i="7" s="1"/>
  <c r="EC14" i="7"/>
  <c r="L19" i="7"/>
  <c r="L24" i="7" s="1"/>
  <c r="E20" i="8"/>
  <c r="E21" i="8" s="1"/>
  <c r="F19" i="8"/>
  <c r="N19" i="7"/>
  <c r="F20" i="8"/>
  <c r="F21" i="8" s="1"/>
  <c r="DZ14" i="7"/>
  <c r="HA12" i="7"/>
  <c r="CJ14" i="7"/>
  <c r="BH17" i="7"/>
  <c r="EO14" i="7"/>
  <c r="N17" i="7"/>
  <c r="DY17" i="7"/>
  <c r="DZ17" i="7" s="1"/>
  <c r="DS9" i="7" s="1"/>
  <c r="GA52" i="7"/>
  <c r="EP9" i="7"/>
  <c r="IO12" i="7"/>
  <c r="IL12" i="7"/>
  <c r="IO15" i="7"/>
  <c r="IL15" i="7"/>
  <c r="S19" i="7"/>
  <c r="AH14" i="7"/>
  <c r="AI14" i="7" s="1"/>
  <c r="GM12" i="7"/>
  <c r="AL9" i="7"/>
  <c r="AL10" i="7" s="1"/>
  <c r="AH11" i="7"/>
  <c r="AI11" i="7" s="1"/>
  <c r="FD17" i="7"/>
  <c r="FC17" i="7" s="1"/>
  <c r="DX16" i="7"/>
  <c r="AE9" i="7"/>
  <c r="AF9" i="7" s="1"/>
  <c r="K17" i="7"/>
  <c r="BK17" i="7"/>
  <c r="BG17" i="7"/>
  <c r="EE19" i="7"/>
  <c r="BD19" i="7"/>
  <c r="CL19" i="7"/>
  <c r="W19" i="7"/>
  <c r="FY61" i="7"/>
  <c r="GK14" i="7"/>
  <c r="GH30" i="7"/>
  <c r="GH31" i="7" s="1"/>
  <c r="GI31" i="7" s="1"/>
  <c r="FG19" i="7"/>
  <c r="FF17" i="7"/>
  <c r="FE17" i="7"/>
  <c r="DH19" i="7"/>
  <c r="IL16" i="7"/>
  <c r="IO16" i="7"/>
  <c r="EU16" i="7"/>
  <c r="EV15" i="7"/>
  <c r="EW15" i="7" s="1"/>
  <c r="GL14" i="7"/>
  <c r="GH14" i="7"/>
  <c r="GH17" i="7" s="1"/>
  <c r="IM17" i="7"/>
  <c r="IO11" i="7"/>
  <c r="IL11" i="7"/>
  <c r="GL16" i="7"/>
  <c r="GH16" i="7"/>
  <c r="GQ13" i="7"/>
  <c r="GR13" i="7" s="1"/>
  <c r="GM13" i="7"/>
  <c r="EH17" i="7"/>
  <c r="EK14" i="7"/>
  <c r="EX14" i="7" s="1"/>
  <c r="EY14" i="7" s="1"/>
  <c r="CR17" i="7"/>
  <c r="IN14" i="7"/>
  <c r="IQ14" i="7"/>
  <c r="IP14" i="7" s="1"/>
  <c r="DK17" i="7"/>
  <c r="DO14" i="7"/>
  <c r="DM17" i="7" s="1"/>
  <c r="DN17" i="7" s="1"/>
  <c r="DG9" i="7" s="1"/>
  <c r="DF14" i="7"/>
  <c r="AK14" i="7"/>
  <c r="AL14" i="7" s="1"/>
  <c r="HN12" i="7"/>
  <c r="HI12" i="7"/>
  <c r="GH15" i="7"/>
  <c r="GL15" i="7"/>
  <c r="HF13" i="7"/>
  <c r="HA13" i="7"/>
  <c r="CS14" i="7"/>
  <c r="CQ13" i="7"/>
  <c r="IL13" i="7"/>
  <c r="IO13" i="7"/>
  <c r="HF11" i="7"/>
  <c r="AC240" i="1"/>
  <c r="AC230" i="1"/>
  <c r="K237" i="1"/>
  <c r="K236" i="1"/>
  <c r="E22" i="8" l="1"/>
  <c r="BO12" i="7"/>
  <c r="BO16" i="7"/>
  <c r="BO14" i="7"/>
  <c r="BO15" i="7"/>
  <c r="BO11" i="7"/>
  <c r="BO13" i="7"/>
  <c r="AI17" i="7"/>
  <c r="AH17" i="7" s="1"/>
  <c r="M17" i="7"/>
  <c r="N24" i="7"/>
  <c r="F22" i="8"/>
  <c r="AT16" i="7"/>
  <c r="AE16" i="7"/>
  <c r="AF16" i="7" s="1"/>
  <c r="AP15" i="7"/>
  <c r="AQ15" i="7" s="1"/>
  <c r="AT12" i="7"/>
  <c r="AE12" i="7"/>
  <c r="AF12" i="7" s="1"/>
  <c r="AE14" i="7"/>
  <c r="AF14" i="7" s="1"/>
  <c r="AE13" i="7"/>
  <c r="AF13" i="7" s="1"/>
  <c r="AP13" i="7"/>
  <c r="AQ13" i="7" s="1"/>
  <c r="AP11" i="7"/>
  <c r="AQ11" i="7" s="1"/>
  <c r="AP16" i="7"/>
  <c r="AQ16" i="7" s="1"/>
  <c r="AT15" i="7"/>
  <c r="AE15" i="7"/>
  <c r="AF15" i="7" s="1"/>
  <c r="AP12" i="7"/>
  <c r="AQ12" i="7" s="1"/>
  <c r="AT14" i="7"/>
  <c r="AT13" i="7"/>
  <c r="AP14" i="7"/>
  <c r="AQ14" i="7" s="1"/>
  <c r="AT11" i="7"/>
  <c r="AX11" i="7" s="1"/>
  <c r="AE11" i="7"/>
  <c r="AF11" i="7" s="1"/>
  <c r="AF17" i="7" s="1"/>
  <c r="AE17" i="7" s="1"/>
  <c r="AK11" i="7"/>
  <c r="AL11" i="7" s="1"/>
  <c r="AK15" i="7"/>
  <c r="AL15" i="7" s="1"/>
  <c r="AK12" i="7"/>
  <c r="AL12" i="7" s="1"/>
  <c r="AK16" i="7"/>
  <c r="AL16" i="7" s="1"/>
  <c r="FD19" i="7"/>
  <c r="AK13" i="7"/>
  <c r="AL13" i="7" s="1"/>
  <c r="IQ15" i="7"/>
  <c r="IP15" i="7" s="1"/>
  <c r="IN15" i="7"/>
  <c r="IQ12" i="7"/>
  <c r="IP12" i="7" s="1"/>
  <c r="IN12" i="7"/>
  <c r="HJ11" i="7"/>
  <c r="HE11" i="7"/>
  <c r="IN13" i="7"/>
  <c r="IQ13" i="7"/>
  <c r="IP13" i="7" s="1"/>
  <c r="HJ13" i="7"/>
  <c r="HE13" i="7"/>
  <c r="HF15" i="7"/>
  <c r="HA15" i="7"/>
  <c r="AF19" i="7"/>
  <c r="HM12" i="7"/>
  <c r="HO12" i="7" s="1"/>
  <c r="HS12" i="7"/>
  <c r="GQ14" i="7"/>
  <c r="GR14" i="7" s="1"/>
  <c r="GR17" i="7" s="1"/>
  <c r="GM14" i="7"/>
  <c r="GM17" i="7" s="1"/>
  <c r="GM15" i="7"/>
  <c r="GQ15" i="7"/>
  <c r="GR15" i="7" s="1"/>
  <c r="GQ16" i="7"/>
  <c r="GR16" i="7" s="1"/>
  <c r="GM16" i="7"/>
  <c r="IO17" i="7"/>
  <c r="IQ11" i="7"/>
  <c r="IN11" i="7"/>
  <c r="HF14" i="7"/>
  <c r="HA14" i="7"/>
  <c r="IN16" i="7"/>
  <c r="IQ16" i="7"/>
  <c r="IP16" i="7" s="1"/>
  <c r="X230" i="1"/>
  <c r="BP13" i="7" l="1"/>
  <c r="BT13" i="7"/>
  <c r="BU13" i="7" s="1"/>
  <c r="C15" i="8"/>
  <c r="D15" i="8" s="1"/>
  <c r="BP15" i="7"/>
  <c r="J15" i="7"/>
  <c r="C17" i="8" s="1"/>
  <c r="D17" i="8" s="1"/>
  <c r="BT15" i="7"/>
  <c r="BU15" i="7" s="1"/>
  <c r="BP16" i="7"/>
  <c r="J16" i="7"/>
  <c r="C18" i="8" s="1"/>
  <c r="D18" i="8" s="1"/>
  <c r="BT16" i="7"/>
  <c r="BU16" i="7" s="1"/>
  <c r="BP11" i="7"/>
  <c r="BT11" i="7"/>
  <c r="BU11" i="7" s="1"/>
  <c r="BP14" i="7"/>
  <c r="J14" i="7"/>
  <c r="C16" i="8" s="1"/>
  <c r="D16" i="8" s="1"/>
  <c r="BT14" i="7"/>
  <c r="BU14" i="7" s="1"/>
  <c r="BP12" i="7"/>
  <c r="J12" i="7"/>
  <c r="C14" i="8" s="1"/>
  <c r="D14" i="8" s="1"/>
  <c r="BT12" i="7"/>
  <c r="BU12" i="7" s="1"/>
  <c r="AF34" i="7"/>
  <c r="AX14" i="7"/>
  <c r="AY14" i="7" s="1"/>
  <c r="AU14" i="7"/>
  <c r="AX12" i="7"/>
  <c r="AY12" i="7" s="1"/>
  <c r="AU12" i="7"/>
  <c r="AL17" i="7"/>
  <c r="AK17" i="7" s="1"/>
  <c r="AY11" i="7"/>
  <c r="AU11" i="7"/>
  <c r="AX13" i="7"/>
  <c r="AY13" i="7" s="1"/>
  <c r="AU13" i="7"/>
  <c r="AX15" i="7"/>
  <c r="AY15" i="7" s="1"/>
  <c r="AU15" i="7"/>
  <c r="AQ17" i="7"/>
  <c r="AX16" i="7"/>
  <c r="AY16" i="7" s="1"/>
  <c r="AU16" i="7"/>
  <c r="HR12" i="7"/>
  <c r="HT12" i="7" s="1"/>
  <c r="HZ12" i="7"/>
  <c r="HY12" i="7" s="1"/>
  <c r="HN11" i="7"/>
  <c r="HI11" i="7"/>
  <c r="HJ14" i="7"/>
  <c r="HE14" i="7"/>
  <c r="IQ17" i="7"/>
  <c r="IP11" i="7"/>
  <c r="HJ15" i="7"/>
  <c r="HE15" i="7"/>
  <c r="HN13" i="7"/>
  <c r="HI13" i="7"/>
  <c r="O230" i="1"/>
  <c r="K225" i="1"/>
  <c r="AC217" i="1"/>
  <c r="X217" i="1"/>
  <c r="O217" i="1"/>
  <c r="K202" i="1"/>
  <c r="K198" i="1"/>
  <c r="K197" i="1"/>
  <c r="K193" i="1"/>
  <c r="K187" i="1"/>
  <c r="K186" i="1"/>
  <c r="K182" i="1"/>
  <c r="K173" i="1"/>
  <c r="K158" i="1"/>
  <c r="K155" i="1"/>
  <c r="K152" i="1"/>
  <c r="K145" i="1"/>
  <c r="K144" i="1"/>
  <c r="K141" i="1"/>
  <c r="K131" i="1"/>
  <c r="K117" i="1"/>
  <c r="K112" i="1"/>
  <c r="K109" i="1"/>
  <c r="K103" i="1"/>
  <c r="K102" i="1"/>
  <c r="K99" i="1"/>
  <c r="K91" i="1"/>
  <c r="K77" i="1"/>
  <c r="K74" i="1"/>
  <c r="K63" i="1"/>
  <c r="K62" i="1"/>
  <c r="K59" i="1"/>
  <c r="K49" i="1"/>
  <c r="K35" i="1"/>
  <c r="K34" i="1"/>
  <c r="K31" i="1"/>
  <c r="K28" i="1"/>
  <c r="K22" i="1"/>
  <c r="K19" i="1"/>
  <c r="K9" i="1"/>
  <c r="K71" i="1"/>
  <c r="J69" i="1"/>
  <c r="E70" i="1"/>
  <c r="F70" i="1"/>
  <c r="BU17" i="7" l="1"/>
  <c r="BU19" i="7" s="1"/>
  <c r="BP17" i="7"/>
  <c r="BP19" i="7" s="1"/>
  <c r="C13" i="8"/>
  <c r="J17" i="7"/>
  <c r="AP17" i="7"/>
  <c r="AQ19" i="7"/>
  <c r="AY17" i="7"/>
  <c r="AX17" i="7" s="1"/>
  <c r="AU17" i="7"/>
  <c r="IA12" i="7"/>
  <c r="HS13" i="7"/>
  <c r="HM13" i="7"/>
  <c r="HO13" i="7" s="1"/>
  <c r="HN15" i="7"/>
  <c r="HI15" i="7"/>
  <c r="HN14" i="7"/>
  <c r="HI14" i="7"/>
  <c r="HM11" i="7"/>
  <c r="HS11" i="7"/>
  <c r="E27" i="1"/>
  <c r="E24" i="1"/>
  <c r="F27" i="1"/>
  <c r="J24" i="7" l="1"/>
  <c r="I17" i="7"/>
  <c r="D13" i="8"/>
  <c r="D19" i="8" s="1"/>
  <c r="D22" i="8" s="1"/>
  <c r="C19" i="8"/>
  <c r="C22" i="8" s="1"/>
  <c r="AT17" i="7"/>
  <c r="AU19" i="7"/>
  <c r="HZ11" i="7"/>
  <c r="HY11" i="7" s="1"/>
  <c r="HR11" i="7"/>
  <c r="HT11" i="7" s="1"/>
  <c r="HU11" i="7" s="1"/>
  <c r="HO11" i="7"/>
  <c r="HP11" i="7" s="1"/>
  <c r="HS14" i="7"/>
  <c r="HM14" i="7"/>
  <c r="HO14" i="7" s="1"/>
  <c r="HS15" i="7"/>
  <c r="HM15" i="7"/>
  <c r="HO15" i="7" s="1"/>
  <c r="HZ13" i="7"/>
  <c r="HY13" i="7" s="1"/>
  <c r="HR13" i="7"/>
  <c r="HT13" i="7" s="1"/>
  <c r="F221" i="1"/>
  <c r="G200" i="1"/>
  <c r="E178" i="1"/>
  <c r="F178" i="1"/>
  <c r="F176" i="1"/>
  <c r="IA13" i="7" l="1"/>
  <c r="HZ15" i="7"/>
  <c r="HY15" i="7" s="1"/>
  <c r="HR15" i="7"/>
  <c r="HT15" i="7" s="1"/>
  <c r="HZ14" i="7"/>
  <c r="HY14" i="7" s="1"/>
  <c r="HR14" i="7"/>
  <c r="HT14" i="7" s="1"/>
  <c r="IA11" i="7"/>
  <c r="IB11" i="7" s="1"/>
  <c r="I162" i="1"/>
  <c r="H162" i="1"/>
  <c r="G162" i="1"/>
  <c r="F161" i="1"/>
  <c r="E144" i="1"/>
  <c r="F144" i="1"/>
  <c r="E149" i="1"/>
  <c r="F145" i="1"/>
  <c r="H138" i="1"/>
  <c r="T138" i="1" s="1"/>
  <c r="H137" i="1"/>
  <c r="H135" i="1"/>
  <c r="E135" i="1"/>
  <c r="E134" i="1"/>
  <c r="F131" i="1"/>
  <c r="F138" i="1"/>
  <c r="F137" i="1"/>
  <c r="U138" i="1"/>
  <c r="J138" i="1"/>
  <c r="O138" i="1"/>
  <c r="N138" i="1" s="1"/>
  <c r="F136" i="1"/>
  <c r="F135" i="1"/>
  <c r="F134" i="1"/>
  <c r="F141" i="1"/>
  <c r="IA14" i="7" l="1"/>
  <c r="IA15" i="7"/>
  <c r="I120" i="1"/>
  <c r="H120" i="1"/>
  <c r="E121" i="1"/>
  <c r="E120" i="1"/>
  <c r="F120" i="1"/>
  <c r="F111" i="1"/>
  <c r="E108" i="1"/>
  <c r="E103" i="1"/>
  <c r="E95" i="1"/>
  <c r="E91" i="1"/>
  <c r="F95" i="1"/>
  <c r="E81" i="1" l="1"/>
  <c r="E80" i="1"/>
  <c r="E62" i="1"/>
  <c r="E63" i="1"/>
  <c r="E71" i="1"/>
  <c r="F71" i="1"/>
  <c r="F66" i="1"/>
  <c r="F65" i="1"/>
  <c r="F57" i="1"/>
  <c r="G57" i="1" s="1"/>
  <c r="F54" i="1"/>
  <c r="G54" i="1" s="1"/>
  <c r="F52" i="1"/>
  <c r="G52" i="1" s="1"/>
  <c r="F59" i="1"/>
  <c r="G59" i="1" s="1"/>
  <c r="E39" i="1"/>
  <c r="Z19" i="4" l="1"/>
  <c r="E31" i="1" l="1"/>
  <c r="F31" i="1"/>
  <c r="E35" i="1"/>
  <c r="F35" i="1"/>
  <c r="E22" i="1"/>
  <c r="F22" i="1"/>
  <c r="F24" i="1"/>
  <c r="F28" i="1"/>
  <c r="E28" i="1"/>
  <c r="E9" i="1"/>
  <c r="E12" i="1"/>
  <c r="E14" i="1"/>
  <c r="F9" i="1"/>
  <c r="F15" i="1"/>
  <c r="F14" i="1"/>
  <c r="F12" i="1"/>
  <c r="F197" i="1"/>
  <c r="E197" i="1"/>
  <c r="E198" i="1"/>
  <c r="F201" i="1"/>
  <c r="F202" i="1"/>
  <c r="F198" i="1"/>
  <c r="I201" i="1"/>
  <c r="H201" i="1"/>
  <c r="E186" i="1"/>
  <c r="E187" i="1"/>
  <c r="F186" i="1"/>
  <c r="F187" i="1"/>
  <c r="F173" i="1"/>
  <c r="E176" i="1"/>
  <c r="G12" i="1" l="1"/>
  <c r="F37" i="1"/>
  <c r="F204" i="1"/>
  <c r="F196" i="1"/>
  <c r="K105" i="5" l="1"/>
  <c r="M105" i="5" s="1"/>
  <c r="Q105" i="5"/>
  <c r="N105" i="5" l="1"/>
  <c r="O105" i="5"/>
  <c r="F127" i="5"/>
  <c r="M123" i="5"/>
  <c r="N123" i="5"/>
  <c r="M122" i="5"/>
  <c r="N122" i="5"/>
  <c r="K104" i="5"/>
  <c r="M104" i="5" s="1"/>
  <c r="K109" i="5"/>
  <c r="N104" i="5"/>
  <c r="F103" i="5"/>
  <c r="T105" i="5" l="1"/>
  <c r="U105" i="5" s="1"/>
  <c r="V105" i="5" s="1"/>
  <c r="O122" i="5"/>
  <c r="Q122" i="5"/>
  <c r="O123" i="5"/>
  <c r="Q123" i="5"/>
  <c r="O104" i="5"/>
  <c r="T104" i="5"/>
  <c r="U104" i="5" s="1"/>
  <c r="V104" i="5" s="1"/>
  <c r="Q104" i="5"/>
  <c r="T123" i="5" l="1"/>
  <c r="U123" i="5" s="1"/>
  <c r="V123" i="5" s="1"/>
  <c r="T122" i="5"/>
  <c r="U122" i="5" s="1"/>
  <c r="V122" i="5" s="1"/>
  <c r="F116" i="5"/>
  <c r="F109" i="5"/>
  <c r="N16" i="5" l="1"/>
  <c r="G171" i="5"/>
  <c r="G220" i="1"/>
  <c r="E257" i="1"/>
  <c r="G234" i="1"/>
  <c r="I222" i="1"/>
  <c r="H221" i="1"/>
  <c r="G221" i="1"/>
  <c r="I235" i="1" l="1"/>
  <c r="H235" i="1"/>
  <c r="F235" i="1"/>
  <c r="G235" i="1" s="1"/>
  <c r="I234" i="1"/>
  <c r="H234" i="1"/>
  <c r="F237" i="1"/>
  <c r="F225" i="1"/>
  <c r="I224" i="1"/>
  <c r="H224" i="1"/>
  <c r="I223" i="1"/>
  <c r="H223" i="1"/>
  <c r="F220" i="1"/>
  <c r="I220" i="1"/>
  <c r="G224" i="1"/>
  <c r="F224" i="1"/>
  <c r="F222" i="1"/>
  <c r="F19" i="1"/>
  <c r="K170" i="5" l="1"/>
  <c r="O170" i="5" s="1"/>
  <c r="K166" i="5"/>
  <c r="K165" i="5"/>
  <c r="K164" i="5"/>
  <c r="O164" i="5" s="1"/>
  <c r="K163" i="5"/>
  <c r="K162" i="5"/>
  <c r="K161" i="5"/>
  <c r="K153" i="5"/>
  <c r="K152" i="5"/>
  <c r="K151" i="5"/>
  <c r="K150" i="5"/>
  <c r="K148" i="5"/>
  <c r="K147" i="5"/>
  <c r="K149" i="5"/>
  <c r="O149" i="5" s="1"/>
  <c r="K146" i="5"/>
  <c r="K141" i="5"/>
  <c r="K140" i="5"/>
  <c r="K137" i="5"/>
  <c r="O137" i="5" s="1"/>
  <c r="K138" i="5"/>
  <c r="M109" i="5"/>
  <c r="K113" i="5"/>
  <c r="K114" i="5"/>
  <c r="K115" i="5"/>
  <c r="K116" i="5"/>
  <c r="K112" i="5"/>
  <c r="K111" i="5"/>
  <c r="K103" i="5"/>
  <c r="K107" i="5"/>
  <c r="O107" i="5" s="1"/>
  <c r="K106" i="5"/>
  <c r="K108" i="5"/>
  <c r="K92" i="5"/>
  <c r="K91" i="5"/>
  <c r="K90" i="5"/>
  <c r="K89" i="5"/>
  <c r="O89" i="5" s="1"/>
  <c r="K88" i="5"/>
  <c r="K75" i="5"/>
  <c r="K74" i="5"/>
  <c r="K73" i="5"/>
  <c r="K72" i="5"/>
  <c r="O72" i="5" s="1"/>
  <c r="K71" i="5"/>
  <c r="K70" i="5"/>
  <c r="Q109" i="5" l="1"/>
  <c r="O109" i="5"/>
  <c r="T109" i="5" l="1"/>
  <c r="U109" i="5" s="1"/>
  <c r="V109" i="5" s="1"/>
  <c r="K63" i="5"/>
  <c r="K62" i="5"/>
  <c r="K61" i="5"/>
  <c r="O61" i="5" s="1"/>
  <c r="K60" i="5"/>
  <c r="K59" i="5"/>
  <c r="K58" i="5"/>
  <c r="K57" i="5"/>
  <c r="M57" i="5" s="1"/>
  <c r="I66" i="5"/>
  <c r="H66" i="5"/>
  <c r="N58" i="5"/>
  <c r="N57" i="5"/>
  <c r="K49" i="5"/>
  <c r="K47" i="5"/>
  <c r="K46" i="5"/>
  <c r="O46" i="5" s="1"/>
  <c r="K45" i="5"/>
  <c r="K44" i="5"/>
  <c r="K43" i="5"/>
  <c r="M58" i="5" l="1"/>
  <c r="O58" i="5"/>
  <c r="Q58" i="5"/>
  <c r="Q57" i="5"/>
  <c r="O57" i="5"/>
  <c r="T58" i="5" l="1"/>
  <c r="U58" i="5" s="1"/>
  <c r="V58" i="5" s="1"/>
  <c r="T57" i="5"/>
  <c r="U57" i="5" s="1"/>
  <c r="V57" i="5" l="1"/>
  <c r="K35" i="5" l="1"/>
  <c r="K34" i="5"/>
  <c r="K33" i="5"/>
  <c r="K32" i="5"/>
  <c r="K31" i="5"/>
  <c r="O31" i="5" s="1"/>
  <c r="K30" i="5"/>
  <c r="K29" i="5"/>
  <c r="K28" i="5"/>
  <c r="N14" i="5" l="1"/>
  <c r="K15" i="5"/>
  <c r="K14" i="5"/>
  <c r="K17" i="5"/>
  <c r="K16" i="5"/>
  <c r="O16" i="5" s="1"/>
  <c r="K21" i="5"/>
  <c r="K20" i="5"/>
  <c r="O20" i="5" s="1"/>
  <c r="K18" i="5"/>
  <c r="I163" i="5" l="1"/>
  <c r="H163" i="5"/>
  <c r="F174" i="5"/>
  <c r="V174" i="5"/>
  <c r="U174" i="5"/>
  <c r="T174" i="5"/>
  <c r="C20" i="4" s="1"/>
  <c r="T173" i="5"/>
  <c r="M173" i="5"/>
  <c r="F157" i="5"/>
  <c r="F84" i="5"/>
  <c r="V157" i="5"/>
  <c r="U157" i="5"/>
  <c r="T157" i="5"/>
  <c r="C19" i="4" s="1"/>
  <c r="T156" i="5"/>
  <c r="M156" i="5"/>
  <c r="F132" i="5"/>
  <c r="V132" i="5"/>
  <c r="U132" i="5"/>
  <c r="T132" i="5"/>
  <c r="C17" i="4" s="1"/>
  <c r="T131" i="5"/>
  <c r="M131" i="5"/>
  <c r="F151" i="5"/>
  <c r="J156" i="5" l="1"/>
  <c r="F171" i="5"/>
  <c r="J173" i="5"/>
  <c r="J131" i="5"/>
  <c r="M83" i="5"/>
  <c r="F93" i="5"/>
  <c r="F96" i="5"/>
  <c r="F88" i="5"/>
  <c r="T83" i="5"/>
  <c r="F22" i="5"/>
  <c r="F77" i="5" l="1"/>
  <c r="F73" i="5"/>
  <c r="F66" i="5"/>
  <c r="E22" i="5"/>
  <c r="F81" i="5" l="1"/>
  <c r="Z20" i="4"/>
  <c r="Z17" i="4" l="1"/>
  <c r="Z14" i="4" l="1"/>
  <c r="Z15" i="4" l="1"/>
  <c r="AO21" i="4" l="1"/>
  <c r="Q16" i="5" l="1"/>
  <c r="AK17" i="4" l="1"/>
  <c r="U200" i="1" l="1"/>
  <c r="T200" i="1"/>
  <c r="J200" i="1"/>
  <c r="O200" i="1"/>
  <c r="N200" i="1" s="1"/>
  <c r="J41" i="1" l="1"/>
  <c r="G41" i="1"/>
  <c r="P41" i="1" s="1"/>
  <c r="H37" i="1"/>
  <c r="I37" i="1"/>
  <c r="E37" i="1"/>
  <c r="J34" i="1"/>
  <c r="R34" i="1" l="1"/>
  <c r="G37" i="1"/>
  <c r="O34" i="1"/>
  <c r="N34" i="1" s="1"/>
  <c r="M79" i="5" l="1"/>
  <c r="H81" i="5"/>
  <c r="I81" i="5"/>
  <c r="E81" i="5"/>
  <c r="N79" i="5"/>
  <c r="T79" i="5" s="1"/>
  <c r="U79" i="5" s="1"/>
  <c r="V79" i="5" s="1"/>
  <c r="N71" i="5"/>
  <c r="M71" i="5"/>
  <c r="O79" i="5" l="1"/>
  <c r="Q79" i="5"/>
  <c r="O71" i="5"/>
  <c r="Q71" i="5"/>
  <c r="H171" i="5"/>
  <c r="I171" i="5"/>
  <c r="E171" i="5"/>
  <c r="N163" i="5"/>
  <c r="M163" i="5"/>
  <c r="N151" i="5"/>
  <c r="M151" i="5"/>
  <c r="E154" i="5"/>
  <c r="F154" i="5"/>
  <c r="H154" i="5"/>
  <c r="I154" i="5"/>
  <c r="K110" i="5"/>
  <c r="O126" i="5"/>
  <c r="M126" i="5"/>
  <c r="N126" i="5"/>
  <c r="E129" i="5"/>
  <c r="G114" i="5"/>
  <c r="N114" i="5" s="1"/>
  <c r="M114" i="5"/>
  <c r="M89" i="5"/>
  <c r="F97" i="5"/>
  <c r="H97" i="5"/>
  <c r="H98" i="5" s="1"/>
  <c r="I97" i="5"/>
  <c r="E97" i="5"/>
  <c r="Q89" i="5"/>
  <c r="M61" i="5"/>
  <c r="Q61" i="5"/>
  <c r="M44" i="5"/>
  <c r="N44" i="5"/>
  <c r="M33" i="5"/>
  <c r="M34" i="5"/>
  <c r="Q33" i="5"/>
  <c r="I33" i="5"/>
  <c r="Q34" i="5"/>
  <c r="M39" i="5"/>
  <c r="P39" i="5"/>
  <c r="R39" i="5"/>
  <c r="N33" i="5" l="1"/>
  <c r="O114" i="5"/>
  <c r="T71" i="5"/>
  <c r="U71" i="5" s="1"/>
  <c r="V71" i="5" s="1"/>
  <c r="O163" i="5"/>
  <c r="Q163" i="5"/>
  <c r="O151" i="5"/>
  <c r="Q151" i="5"/>
  <c r="Q126" i="5"/>
  <c r="T126" i="5" s="1"/>
  <c r="U126" i="5" s="1"/>
  <c r="V126" i="5" s="1"/>
  <c r="Q114" i="5"/>
  <c r="T61" i="5"/>
  <c r="U61" i="5" s="1"/>
  <c r="V61" i="5" s="1"/>
  <c r="O44" i="5"/>
  <c r="Q44" i="5"/>
  <c r="O33" i="5"/>
  <c r="N34" i="5"/>
  <c r="O34" i="5"/>
  <c r="E63" i="5"/>
  <c r="E59" i="5"/>
  <c r="Q138" i="5"/>
  <c r="N138" i="5"/>
  <c r="O138" i="5"/>
  <c r="I142" i="5"/>
  <c r="H142" i="5"/>
  <c r="F136" i="5"/>
  <c r="F142" i="5" s="1"/>
  <c r="E136" i="5"/>
  <c r="E142" i="5" s="1"/>
  <c r="T114" i="5" l="1"/>
  <c r="U114" i="5" s="1"/>
  <c r="V114" i="5" s="1"/>
  <c r="E66" i="5"/>
  <c r="T138" i="5"/>
  <c r="U138" i="5" s="1"/>
  <c r="V138" i="5" s="1"/>
  <c r="T89" i="5"/>
  <c r="U89" i="5" s="1"/>
  <c r="V89" i="5" s="1"/>
  <c r="T151" i="5"/>
  <c r="U151" i="5" s="1"/>
  <c r="V151" i="5" s="1"/>
  <c r="T163" i="5"/>
  <c r="U163" i="5" s="1"/>
  <c r="V163" i="5" s="1"/>
  <c r="T44" i="5"/>
  <c r="U44" i="5" s="1"/>
  <c r="V44" i="5" s="1"/>
  <c r="T33" i="5"/>
  <c r="V33" i="5"/>
  <c r="U33" i="5"/>
  <c r="U34" i="5"/>
  <c r="T34" i="5"/>
  <c r="V34" i="5"/>
  <c r="M138" i="5"/>
  <c r="E45" i="5"/>
  <c r="E43" i="5"/>
  <c r="E35" i="5"/>
  <c r="E39" i="5" l="1"/>
  <c r="E53" i="5"/>
  <c r="F53" i="5"/>
  <c r="I81" i="1" l="1"/>
  <c r="F81" i="1"/>
  <c r="AK11" i="4" l="1"/>
  <c r="M66" i="5" l="1"/>
  <c r="AG27" i="5"/>
  <c r="AF28" i="5" s="1"/>
  <c r="Y155" i="1" l="1"/>
  <c r="Y141" i="1"/>
  <c r="Y131" i="1"/>
  <c r="Y112" i="1"/>
  <c r="AD91" i="1"/>
  <c r="Y91" i="1"/>
  <c r="AD49" i="1"/>
  <c r="Y49" i="1"/>
  <c r="AD35" i="1"/>
  <c r="Y35" i="1"/>
  <c r="AD31" i="1"/>
  <c r="Y31" i="1"/>
  <c r="AD22" i="1"/>
  <c r="Y22" i="1"/>
  <c r="AD9" i="1"/>
  <c r="Y9" i="1"/>
  <c r="AE49" i="1" l="1"/>
  <c r="Z49" i="1"/>
  <c r="U246" i="1"/>
  <c r="T246" i="1"/>
  <c r="F246" i="1"/>
  <c r="G246" i="1" s="1"/>
  <c r="F205" i="1"/>
  <c r="F80" i="1"/>
  <c r="I38" i="1"/>
  <c r="H38" i="1"/>
  <c r="J35" i="1" l="1"/>
  <c r="AB229" i="1" l="1"/>
  <c r="U229" i="1" s="1"/>
  <c r="W229" i="1"/>
  <c r="T229" i="1" s="1"/>
  <c r="AC49" i="1" l="1"/>
  <c r="AB49" i="1" s="1"/>
  <c r="X49" i="1"/>
  <c r="W49" i="1" s="1"/>
  <c r="T49" i="1" s="1"/>
  <c r="M172" i="5" l="1"/>
  <c r="M171" i="5"/>
  <c r="I172" i="5"/>
  <c r="H172" i="5"/>
  <c r="M170" i="5"/>
  <c r="K169" i="5"/>
  <c r="M169" i="5" s="1"/>
  <c r="G169" i="5"/>
  <c r="K168" i="5"/>
  <c r="M168" i="5" s="1"/>
  <c r="G168" i="5"/>
  <c r="K167" i="5"/>
  <c r="M167" i="5" s="1"/>
  <c r="G167" i="5"/>
  <c r="M166" i="5"/>
  <c r="N166" i="5"/>
  <c r="M165" i="5"/>
  <c r="M164" i="5"/>
  <c r="M162" i="5"/>
  <c r="M161" i="5"/>
  <c r="R160" i="5"/>
  <c r="P160" i="5"/>
  <c r="M159" i="5"/>
  <c r="M155" i="5"/>
  <c r="R154" i="5"/>
  <c r="P154" i="5"/>
  <c r="M154" i="5"/>
  <c r="I155" i="5"/>
  <c r="H155" i="5"/>
  <c r="M153" i="5"/>
  <c r="M152" i="5"/>
  <c r="O152" i="5"/>
  <c r="M149" i="5"/>
  <c r="Q149" i="5"/>
  <c r="M148" i="5"/>
  <c r="Q148" i="5"/>
  <c r="M147" i="5"/>
  <c r="M146" i="5"/>
  <c r="Q146" i="5"/>
  <c r="R145" i="5"/>
  <c r="P145" i="5"/>
  <c r="M144" i="5"/>
  <c r="M143" i="5"/>
  <c r="M142" i="5"/>
  <c r="I143" i="5"/>
  <c r="H143" i="5"/>
  <c r="M141" i="5"/>
  <c r="M140" i="5"/>
  <c r="Q140" i="5"/>
  <c r="M137" i="5"/>
  <c r="K136" i="5"/>
  <c r="M136" i="5" s="1"/>
  <c r="M134" i="5"/>
  <c r="M130" i="5"/>
  <c r="M129" i="5"/>
  <c r="M128" i="5"/>
  <c r="O128" i="5"/>
  <c r="M127" i="5"/>
  <c r="O127" i="5"/>
  <c r="M125" i="5"/>
  <c r="O125" i="5"/>
  <c r="M124" i="5"/>
  <c r="M121" i="5"/>
  <c r="Q121" i="5"/>
  <c r="M120" i="5"/>
  <c r="Q120" i="5"/>
  <c r="M119" i="5"/>
  <c r="M118" i="5"/>
  <c r="G118" i="5"/>
  <c r="O118" i="5" s="1"/>
  <c r="M117" i="5"/>
  <c r="G117" i="5"/>
  <c r="M116" i="5"/>
  <c r="M115" i="5"/>
  <c r="M113" i="5"/>
  <c r="Q113" i="5"/>
  <c r="M112" i="5"/>
  <c r="M111" i="5"/>
  <c r="M110" i="5"/>
  <c r="Q110" i="5"/>
  <c r="M108" i="5"/>
  <c r="G129" i="5"/>
  <c r="M107" i="5"/>
  <c r="I129" i="5"/>
  <c r="I130" i="5" s="1"/>
  <c r="H129" i="5"/>
  <c r="F107" i="5"/>
  <c r="F129" i="5" s="1"/>
  <c r="M106" i="5"/>
  <c r="Q106" i="5"/>
  <c r="M103" i="5"/>
  <c r="K102" i="5"/>
  <c r="M102" i="5" s="1"/>
  <c r="K101" i="5"/>
  <c r="M101" i="5" s="1"/>
  <c r="S100" i="5"/>
  <c r="R100" i="5"/>
  <c r="P100" i="5"/>
  <c r="M99" i="5"/>
  <c r="M98" i="5"/>
  <c r="M97" i="5"/>
  <c r="I98" i="5"/>
  <c r="M96" i="5"/>
  <c r="O96" i="5"/>
  <c r="M95" i="5"/>
  <c r="O95" i="5"/>
  <c r="M94" i="5"/>
  <c r="O94" i="5"/>
  <c r="M93" i="5"/>
  <c r="O93" i="5"/>
  <c r="M92" i="5"/>
  <c r="M91" i="5"/>
  <c r="N91" i="5"/>
  <c r="M90" i="5"/>
  <c r="G97" i="5"/>
  <c r="M88" i="5"/>
  <c r="M86" i="5"/>
  <c r="M82" i="5"/>
  <c r="M81" i="5"/>
  <c r="N81" i="5"/>
  <c r="M80" i="5"/>
  <c r="M78" i="5"/>
  <c r="Q78" i="5"/>
  <c r="M77" i="5"/>
  <c r="Q77" i="5"/>
  <c r="M76" i="5"/>
  <c r="M75" i="5"/>
  <c r="M74" i="5"/>
  <c r="M73" i="5"/>
  <c r="M72" i="5"/>
  <c r="M70" i="5"/>
  <c r="I82" i="5"/>
  <c r="H82" i="5"/>
  <c r="M68" i="5"/>
  <c r="M67" i="5"/>
  <c r="I67" i="5"/>
  <c r="H67" i="5"/>
  <c r="T65" i="5"/>
  <c r="U65" i="5" s="1"/>
  <c r="V65" i="5" s="1"/>
  <c r="K65" i="5"/>
  <c r="T64" i="5"/>
  <c r="U64" i="5" s="1"/>
  <c r="V64" i="5" s="1"/>
  <c r="K64" i="5"/>
  <c r="M63" i="5"/>
  <c r="O63" i="5"/>
  <c r="M62" i="5"/>
  <c r="O62" i="5"/>
  <c r="M60" i="5"/>
  <c r="M59" i="5"/>
  <c r="R55" i="5"/>
  <c r="P55" i="5"/>
  <c r="M55" i="5"/>
  <c r="M54" i="5"/>
  <c r="M53" i="5"/>
  <c r="T52" i="5"/>
  <c r="U52" i="5" s="1"/>
  <c r="V52" i="5" s="1"/>
  <c r="K52" i="5"/>
  <c r="M52" i="5" s="1"/>
  <c r="T51" i="5"/>
  <c r="U51" i="5" s="1"/>
  <c r="V51" i="5" s="1"/>
  <c r="K51" i="5"/>
  <c r="M51" i="5" s="1"/>
  <c r="T50" i="5"/>
  <c r="U50" i="5" s="1"/>
  <c r="V50" i="5" s="1"/>
  <c r="K50" i="5"/>
  <c r="M50" i="5" s="1"/>
  <c r="M49" i="5"/>
  <c r="M47" i="5"/>
  <c r="M46" i="5"/>
  <c r="M45" i="5"/>
  <c r="M43" i="5"/>
  <c r="M41" i="5"/>
  <c r="M40" i="5"/>
  <c r="K38" i="5"/>
  <c r="M38" i="5" s="1"/>
  <c r="K37" i="5"/>
  <c r="M37" i="5" s="1"/>
  <c r="I37" i="5"/>
  <c r="H37" i="5"/>
  <c r="F37" i="5"/>
  <c r="K36" i="5"/>
  <c r="M36" i="5" s="1"/>
  <c r="Q36" i="5"/>
  <c r="M35" i="5"/>
  <c r="O35" i="5"/>
  <c r="M32" i="5"/>
  <c r="I32" i="5"/>
  <c r="F32" i="5"/>
  <c r="M31" i="5"/>
  <c r="I31" i="5"/>
  <c r="H31" i="5"/>
  <c r="Q31" i="5"/>
  <c r="M30" i="5"/>
  <c r="I30" i="5"/>
  <c r="H30" i="5"/>
  <c r="V29" i="5"/>
  <c r="M29" i="5"/>
  <c r="Q29" i="5"/>
  <c r="M28" i="5"/>
  <c r="S27" i="5"/>
  <c r="R27" i="5"/>
  <c r="R26" i="5" s="1"/>
  <c r="P27" i="5"/>
  <c r="P26" i="5" s="1"/>
  <c r="M26" i="5"/>
  <c r="T25" i="5"/>
  <c r="U25" i="5" s="1"/>
  <c r="V25" i="5" s="1"/>
  <c r="M25" i="5"/>
  <c r="T24" i="5"/>
  <c r="U24" i="5" s="1"/>
  <c r="V24" i="5" s="1"/>
  <c r="M24" i="5"/>
  <c r="M23" i="5"/>
  <c r="AC22" i="5"/>
  <c r="AB22" i="5"/>
  <c r="AA22" i="5"/>
  <c r="Z22" i="5"/>
  <c r="Y22" i="5"/>
  <c r="W22" i="5"/>
  <c r="S22" i="5"/>
  <c r="R22" i="5"/>
  <c r="P22" i="5"/>
  <c r="M22" i="5"/>
  <c r="M21" i="5"/>
  <c r="Q21" i="5"/>
  <c r="M20" i="5"/>
  <c r="M18" i="5"/>
  <c r="M17" i="5"/>
  <c r="Q17" i="5"/>
  <c r="M16" i="5"/>
  <c r="M15" i="5"/>
  <c r="M14" i="5"/>
  <c r="S13" i="5"/>
  <c r="R13" i="5"/>
  <c r="R12" i="5" s="1"/>
  <c r="P13" i="5"/>
  <c r="P12" i="5" s="1"/>
  <c r="O117" i="5" l="1"/>
  <c r="Q117" i="5"/>
  <c r="O76" i="5"/>
  <c r="Q74" i="5"/>
  <c r="G82" i="5"/>
  <c r="Q170" i="5"/>
  <c r="F39" i="5"/>
  <c r="I39" i="5"/>
  <c r="V39" i="5" s="1"/>
  <c r="O150" i="5"/>
  <c r="O15" i="5"/>
  <c r="G155" i="5"/>
  <c r="O88" i="5"/>
  <c r="N90" i="5"/>
  <c r="O90" i="5"/>
  <c r="Q116" i="5"/>
  <c r="H39" i="5"/>
  <c r="O45" i="5"/>
  <c r="O115" i="5"/>
  <c r="N32" i="5"/>
  <c r="O32" i="5"/>
  <c r="O59" i="5"/>
  <c r="O66" i="5"/>
  <c r="O14" i="5"/>
  <c r="Q49" i="5"/>
  <c r="S23" i="5"/>
  <c r="O168" i="5"/>
  <c r="O169" i="5"/>
  <c r="O75" i="5"/>
  <c r="O161" i="5"/>
  <c r="O43" i="5"/>
  <c r="Q63" i="5"/>
  <c r="O108" i="5"/>
  <c r="O165" i="5"/>
  <c r="I23" i="5"/>
  <c r="V23" i="5" s="1"/>
  <c r="U22" i="5"/>
  <c r="H23" i="5"/>
  <c r="U23" i="5" s="1"/>
  <c r="AB10" i="5" s="1"/>
  <c r="O47" i="5"/>
  <c r="O70" i="5"/>
  <c r="O73" i="5"/>
  <c r="O92" i="5"/>
  <c r="O101" i="5"/>
  <c r="O102" i="5"/>
  <c r="O103" i="5"/>
  <c r="H130" i="5"/>
  <c r="O111" i="5"/>
  <c r="O112" i="5"/>
  <c r="O153" i="5"/>
  <c r="O162" i="5"/>
  <c r="Q166" i="5"/>
  <c r="O80" i="5"/>
  <c r="Q80" i="5"/>
  <c r="O124" i="5"/>
  <c r="Q124" i="5"/>
  <c r="N74" i="5"/>
  <c r="N102" i="5"/>
  <c r="N106" i="5"/>
  <c r="N110" i="5"/>
  <c r="N113" i="5"/>
  <c r="Q127" i="5"/>
  <c r="O141" i="5"/>
  <c r="N146" i="5"/>
  <c r="N153" i="5"/>
  <c r="N168" i="5"/>
  <c r="P176" i="5"/>
  <c r="Q14" i="5"/>
  <c r="Q15" i="5"/>
  <c r="O17" i="5"/>
  <c r="N17" i="5"/>
  <c r="O18" i="5"/>
  <c r="Q20" i="5"/>
  <c r="O36" i="5"/>
  <c r="N36" i="5"/>
  <c r="O38" i="5"/>
  <c r="Q46" i="5"/>
  <c r="N49" i="5"/>
  <c r="O60" i="5"/>
  <c r="Q62" i="5"/>
  <c r="Q70" i="5"/>
  <c r="Q72" i="5"/>
  <c r="O77" i="5"/>
  <c r="Q90" i="5"/>
  <c r="Q91" i="5"/>
  <c r="Q95" i="5"/>
  <c r="Q101" i="5"/>
  <c r="Q102" i="5"/>
  <c r="O116" i="5"/>
  <c r="N116" i="5"/>
  <c r="O121" i="5"/>
  <c r="O140" i="5"/>
  <c r="N140" i="5"/>
  <c r="O148" i="5"/>
  <c r="N148" i="5"/>
  <c r="M150" i="5"/>
  <c r="Q153" i="5"/>
  <c r="Q164" i="5"/>
  <c r="O167" i="5"/>
  <c r="Q168" i="5"/>
  <c r="N170" i="5"/>
  <c r="R176" i="5"/>
  <c r="N15" i="5"/>
  <c r="N20" i="5"/>
  <c r="N62" i="5"/>
  <c r="T62" i="5" s="1"/>
  <c r="U62" i="5" s="1"/>
  <c r="V62" i="5" s="1"/>
  <c r="N70" i="5"/>
  <c r="O78" i="5"/>
  <c r="Q93" i="5"/>
  <c r="N101" i="5"/>
  <c r="O120" i="5"/>
  <c r="Q37" i="5"/>
  <c r="O37" i="5"/>
  <c r="N37" i="5"/>
  <c r="Q136" i="5"/>
  <c r="N136" i="5"/>
  <c r="Q147" i="5"/>
  <c r="N147" i="5"/>
  <c r="Q73" i="5"/>
  <c r="N73" i="5"/>
  <c r="Q88" i="5"/>
  <c r="N88" i="5"/>
  <c r="Q103" i="5"/>
  <c r="N103" i="5"/>
  <c r="Q108" i="5"/>
  <c r="N108" i="5"/>
  <c r="Q112" i="5"/>
  <c r="Q119" i="5"/>
  <c r="N119" i="5"/>
  <c r="Q141" i="5"/>
  <c r="N141" i="5"/>
  <c r="Q150" i="5"/>
  <c r="N150" i="5"/>
  <c r="Q161" i="5"/>
  <c r="N161" i="5"/>
  <c r="Q162" i="5"/>
  <c r="N162" i="5"/>
  <c r="Q169" i="5"/>
  <c r="N169" i="5"/>
  <c r="O21" i="5"/>
  <c r="O29" i="5"/>
  <c r="Q32" i="5"/>
  <c r="N94" i="5"/>
  <c r="N118" i="5"/>
  <c r="N125" i="5"/>
  <c r="N18" i="5"/>
  <c r="Q18" i="5"/>
  <c r="N21" i="5"/>
  <c r="V22" i="5"/>
  <c r="Q28" i="5"/>
  <c r="N29" i="5"/>
  <c r="G30" i="5"/>
  <c r="G39" i="5" s="1"/>
  <c r="G40" i="5" s="1"/>
  <c r="N35" i="5"/>
  <c r="Q35" i="5"/>
  <c r="N38" i="5"/>
  <c r="Q38" i="5"/>
  <c r="Q43" i="5"/>
  <c r="N45" i="5"/>
  <c r="N47" i="5"/>
  <c r="Q47" i="5"/>
  <c r="O49" i="5"/>
  <c r="N59" i="5"/>
  <c r="Q59" i="5"/>
  <c r="N60" i="5"/>
  <c r="Q60" i="5"/>
  <c r="N63" i="5"/>
  <c r="O74" i="5"/>
  <c r="N80" i="5"/>
  <c r="T80" i="5" s="1"/>
  <c r="U80" i="5" s="1"/>
  <c r="V80" i="5" s="1"/>
  <c r="O91" i="5"/>
  <c r="N93" i="5"/>
  <c r="Q94" i="5"/>
  <c r="N95" i="5"/>
  <c r="Q96" i="5"/>
  <c r="G98" i="5"/>
  <c r="O106" i="5"/>
  <c r="O110" i="5"/>
  <c r="Q111" i="5"/>
  <c r="O113" i="5"/>
  <c r="N117" i="5"/>
  <c r="Q118" i="5"/>
  <c r="O119" i="5"/>
  <c r="N124" i="5"/>
  <c r="Q125" i="5"/>
  <c r="N127" i="5"/>
  <c r="Q128" i="5"/>
  <c r="O136" i="5"/>
  <c r="O146" i="5"/>
  <c r="O147" i="5"/>
  <c r="O166" i="5"/>
  <c r="Q75" i="5"/>
  <c r="N75" i="5"/>
  <c r="Q76" i="5"/>
  <c r="Q92" i="5"/>
  <c r="N92" i="5"/>
  <c r="Q115" i="5"/>
  <c r="N115" i="5"/>
  <c r="Q152" i="5"/>
  <c r="N152" i="5"/>
  <c r="Q165" i="5"/>
  <c r="N165" i="5"/>
  <c r="Q167" i="5"/>
  <c r="N167" i="5"/>
  <c r="O28" i="5"/>
  <c r="N96" i="5"/>
  <c r="N111" i="5"/>
  <c r="N128" i="5"/>
  <c r="G172" i="5"/>
  <c r="N77" i="5"/>
  <c r="T77" i="5" s="1"/>
  <c r="U77" i="5" s="1"/>
  <c r="V77" i="5" s="1"/>
  <c r="N78" i="5"/>
  <c r="T78" i="5" s="1"/>
  <c r="U78" i="5" s="1"/>
  <c r="V78" i="5" s="1"/>
  <c r="N120" i="5"/>
  <c r="N121" i="5"/>
  <c r="N13" i="5" l="1"/>
  <c r="O13" i="5"/>
  <c r="O12" i="5" s="1"/>
  <c r="U39" i="5"/>
  <c r="H40" i="5"/>
  <c r="G130" i="5"/>
  <c r="O100" i="5"/>
  <c r="N56" i="5"/>
  <c r="O56" i="5"/>
  <c r="O55" i="5" s="1"/>
  <c r="T117" i="5"/>
  <c r="U117" i="5" s="1"/>
  <c r="V117" i="5" s="1"/>
  <c r="T91" i="5"/>
  <c r="U91" i="5" s="1"/>
  <c r="V91" i="5" s="1"/>
  <c r="Q56" i="5"/>
  <c r="N76" i="5"/>
  <c r="T76" i="5" s="1"/>
  <c r="U76" i="5" s="1"/>
  <c r="V76" i="5" s="1"/>
  <c r="T166" i="5"/>
  <c r="U166" i="5" s="1"/>
  <c r="V166" i="5" s="1"/>
  <c r="V32" i="5"/>
  <c r="T72" i="5"/>
  <c r="U72" i="5" s="1"/>
  <c r="V72" i="5" s="1"/>
  <c r="U36" i="5"/>
  <c r="V36" i="5" s="1"/>
  <c r="T70" i="5"/>
  <c r="U40" i="5"/>
  <c r="T121" i="5"/>
  <c r="U121" i="5" s="1"/>
  <c r="V121" i="5" s="1"/>
  <c r="T153" i="5"/>
  <c r="U153" i="5" s="1"/>
  <c r="V153" i="5" s="1"/>
  <c r="Q40" i="5"/>
  <c r="O160" i="5"/>
  <c r="O159" i="5" s="1"/>
  <c r="O42" i="5"/>
  <c r="O41" i="5" s="1"/>
  <c r="I40" i="5"/>
  <c r="V40" i="5" s="1"/>
  <c r="G67" i="5"/>
  <c r="S67" i="5" s="1"/>
  <c r="G143" i="5"/>
  <c r="S143" i="5" s="1"/>
  <c r="O53" i="5"/>
  <c r="S54" i="5"/>
  <c r="E13" i="4" s="1"/>
  <c r="U31" i="5"/>
  <c r="O22" i="5"/>
  <c r="T20" i="5"/>
  <c r="U20" i="5" s="1"/>
  <c r="V20" i="5" s="1"/>
  <c r="T128" i="5"/>
  <c r="U128" i="5" s="1"/>
  <c r="V128" i="5" s="1"/>
  <c r="T96" i="5"/>
  <c r="U96" i="5" s="1"/>
  <c r="V96" i="5" s="1"/>
  <c r="T164" i="5"/>
  <c r="U164" i="5" s="1"/>
  <c r="V164" i="5" s="1"/>
  <c r="T127" i="5"/>
  <c r="U127" i="5" s="1"/>
  <c r="V127" i="5" s="1"/>
  <c r="T110" i="5"/>
  <c r="U110" i="5" s="1"/>
  <c r="V110" i="5" s="1"/>
  <c r="T95" i="5"/>
  <c r="U95" i="5" s="1"/>
  <c r="V95" i="5" s="1"/>
  <c r="T90" i="5"/>
  <c r="U90" i="5" s="1"/>
  <c r="V90" i="5" s="1"/>
  <c r="T32" i="5"/>
  <c r="N53" i="5"/>
  <c r="T140" i="5"/>
  <c r="T116" i="5"/>
  <c r="U116" i="5" s="1"/>
  <c r="V116" i="5" s="1"/>
  <c r="T36" i="5"/>
  <c r="T106" i="5"/>
  <c r="U106" i="5" s="1"/>
  <c r="V106" i="5" s="1"/>
  <c r="T102" i="5"/>
  <c r="U102" i="5" s="1"/>
  <c r="V102" i="5" s="1"/>
  <c r="T15" i="5"/>
  <c r="U15" i="5" s="1"/>
  <c r="V15" i="5" s="1"/>
  <c r="T120" i="5"/>
  <c r="U120" i="5" s="1"/>
  <c r="V120" i="5" s="1"/>
  <c r="T170" i="5"/>
  <c r="U170" i="5" s="1"/>
  <c r="V170" i="5" s="1"/>
  <c r="T124" i="5"/>
  <c r="U124" i="5" s="1"/>
  <c r="V124" i="5" s="1"/>
  <c r="T113" i="5"/>
  <c r="U113" i="5" s="1"/>
  <c r="V113" i="5" s="1"/>
  <c r="T93" i="5"/>
  <c r="U93" i="5" s="1"/>
  <c r="V93" i="5" s="1"/>
  <c r="O69" i="5"/>
  <c r="I15" i="4" s="1"/>
  <c r="T49" i="5"/>
  <c r="U49" i="5" s="1"/>
  <c r="V49" i="5" s="1"/>
  <c r="T29" i="5"/>
  <c r="T21" i="5"/>
  <c r="U21" i="5" s="1"/>
  <c r="V21" i="5" s="1"/>
  <c r="T101" i="5"/>
  <c r="U101" i="5" s="1"/>
  <c r="T149" i="5"/>
  <c r="U149" i="5" s="1"/>
  <c r="V149" i="5" s="1"/>
  <c r="T148" i="5"/>
  <c r="U148" i="5" s="1"/>
  <c r="V148" i="5" s="1"/>
  <c r="T17" i="5"/>
  <c r="U17" i="5" s="1"/>
  <c r="V17" i="5" s="1"/>
  <c r="T46" i="5"/>
  <c r="U46" i="5" s="1"/>
  <c r="V46" i="5" s="1"/>
  <c r="M11" i="4"/>
  <c r="E11" i="4"/>
  <c r="T111" i="5"/>
  <c r="U111" i="5" s="1"/>
  <c r="V111" i="5" s="1"/>
  <c r="T167" i="5"/>
  <c r="U167" i="5" s="1"/>
  <c r="V167" i="5" s="1"/>
  <c r="T165" i="5"/>
  <c r="U165" i="5" s="1"/>
  <c r="V165" i="5" s="1"/>
  <c r="T152" i="5"/>
  <c r="U152" i="5" s="1"/>
  <c r="V152" i="5" s="1"/>
  <c r="T115" i="5"/>
  <c r="U115" i="5" s="1"/>
  <c r="V115" i="5" s="1"/>
  <c r="T92" i="5"/>
  <c r="U92" i="5" s="1"/>
  <c r="V92" i="5" s="1"/>
  <c r="T75" i="5"/>
  <c r="U75" i="5" s="1"/>
  <c r="V75" i="5" s="1"/>
  <c r="Q66" i="5"/>
  <c r="N22" i="5"/>
  <c r="Q22" i="5"/>
  <c r="Q53" i="5"/>
  <c r="N66" i="5"/>
  <c r="T66" i="5" s="1"/>
  <c r="Q69" i="5"/>
  <c r="J15" i="4" s="1"/>
  <c r="T63" i="5"/>
  <c r="U63" i="5" s="1"/>
  <c r="V63" i="5" s="1"/>
  <c r="T60" i="5"/>
  <c r="T45" i="5"/>
  <c r="U45" i="5" s="1"/>
  <c r="V45" i="5" s="1"/>
  <c r="T16" i="5"/>
  <c r="U16" i="5" s="1"/>
  <c r="V16" i="5" s="1"/>
  <c r="T169" i="5"/>
  <c r="U169" i="5" s="1"/>
  <c r="V169" i="5" s="1"/>
  <c r="T162" i="5"/>
  <c r="U162" i="5" s="1"/>
  <c r="V162" i="5" s="1"/>
  <c r="T150" i="5"/>
  <c r="U150" i="5" s="1"/>
  <c r="V150" i="5" s="1"/>
  <c r="T141" i="5"/>
  <c r="U141" i="5" s="1"/>
  <c r="V141" i="5" s="1"/>
  <c r="T112" i="5"/>
  <c r="U112" i="5" s="1"/>
  <c r="V112" i="5" s="1"/>
  <c r="T108" i="5"/>
  <c r="U108" i="5" s="1"/>
  <c r="V108" i="5" s="1"/>
  <c r="T73" i="5"/>
  <c r="U73" i="5" s="1"/>
  <c r="V73" i="5" s="1"/>
  <c r="T168" i="5"/>
  <c r="U168" i="5" s="1"/>
  <c r="V168" i="5" s="1"/>
  <c r="O87" i="5"/>
  <c r="O86" i="5" s="1"/>
  <c r="O171" i="5"/>
  <c r="N171" i="5"/>
  <c r="S172" i="5"/>
  <c r="Q171" i="5"/>
  <c r="Q154" i="5"/>
  <c r="O154" i="5"/>
  <c r="S155" i="5"/>
  <c r="N154" i="5"/>
  <c r="O97" i="5"/>
  <c r="Q97" i="5"/>
  <c r="N97" i="5"/>
  <c r="S98" i="5"/>
  <c r="U35" i="5"/>
  <c r="V35" i="5" s="1"/>
  <c r="T35" i="5"/>
  <c r="T31" i="5"/>
  <c r="V31" i="5"/>
  <c r="T28" i="5"/>
  <c r="T18" i="5"/>
  <c r="U18" i="5" s="1"/>
  <c r="V18" i="5" s="1"/>
  <c r="T136" i="5"/>
  <c r="N135" i="5"/>
  <c r="N142" i="5"/>
  <c r="O142" i="5"/>
  <c r="S12" i="5"/>
  <c r="T23" i="5"/>
  <c r="O145" i="5"/>
  <c r="O135" i="5"/>
  <c r="T74" i="5"/>
  <c r="T47" i="5"/>
  <c r="U47" i="5" s="1"/>
  <c r="V47" i="5" s="1"/>
  <c r="T125" i="5"/>
  <c r="U125" i="5" s="1"/>
  <c r="V125" i="5" s="1"/>
  <c r="Q160" i="5"/>
  <c r="T146" i="5"/>
  <c r="Q87" i="5"/>
  <c r="T147" i="5"/>
  <c r="U147" i="5" s="1"/>
  <c r="V147" i="5" s="1"/>
  <c r="U32" i="5"/>
  <c r="T59" i="5"/>
  <c r="T43" i="5"/>
  <c r="N42" i="5"/>
  <c r="U38" i="5"/>
  <c r="T38" i="5"/>
  <c r="N30" i="5"/>
  <c r="N27" i="5" s="1"/>
  <c r="O30" i="5"/>
  <c r="O27" i="5" s="1"/>
  <c r="Q30" i="5"/>
  <c r="Q27" i="5" s="1"/>
  <c r="O81" i="5"/>
  <c r="Q81" i="5"/>
  <c r="S82" i="5"/>
  <c r="N160" i="5"/>
  <c r="T161" i="5"/>
  <c r="T88" i="5"/>
  <c r="N87" i="5"/>
  <c r="N107" i="5"/>
  <c r="N100" i="5" s="1"/>
  <c r="Q107" i="5"/>
  <c r="Q100" i="5" s="1"/>
  <c r="J17" i="4" s="1"/>
  <c r="T37" i="5"/>
  <c r="U37" i="5"/>
  <c r="V37" i="5" s="1"/>
  <c r="T118" i="5"/>
  <c r="U118" i="5" s="1"/>
  <c r="V118" i="5" s="1"/>
  <c r="T94" i="5"/>
  <c r="U94" i="5" s="1"/>
  <c r="V94" i="5" s="1"/>
  <c r="N145" i="5"/>
  <c r="T119" i="5"/>
  <c r="U119" i="5" s="1"/>
  <c r="V119" i="5" s="1"/>
  <c r="T103" i="5"/>
  <c r="U103" i="5" s="1"/>
  <c r="V103" i="5" s="1"/>
  <c r="Q145" i="5"/>
  <c r="T14" i="5"/>
  <c r="Q185" i="5" l="1"/>
  <c r="U74" i="5"/>
  <c r="V74" i="5" s="1"/>
  <c r="T69" i="5"/>
  <c r="U60" i="5"/>
  <c r="V60" i="5" s="1"/>
  <c r="T56" i="5"/>
  <c r="U137" i="5"/>
  <c r="V137" i="5" s="1"/>
  <c r="G20" i="4"/>
  <c r="N159" i="5"/>
  <c r="G19" i="4"/>
  <c r="N144" i="5"/>
  <c r="N99" i="5"/>
  <c r="G17" i="4"/>
  <c r="N69" i="5"/>
  <c r="G15" i="4" s="1"/>
  <c r="U70" i="5"/>
  <c r="V70" i="5" s="1"/>
  <c r="V69" i="5" s="1"/>
  <c r="B15" i="4"/>
  <c r="U140" i="5"/>
  <c r="V140" i="5" s="1"/>
  <c r="B18" i="4"/>
  <c r="I14" i="4"/>
  <c r="T53" i="5"/>
  <c r="U53" i="5" s="1"/>
  <c r="V53" i="5" s="1"/>
  <c r="S40" i="5"/>
  <c r="E12" i="4" s="1"/>
  <c r="G176" i="5"/>
  <c r="I20" i="4"/>
  <c r="N39" i="5"/>
  <c r="O39" i="5"/>
  <c r="Q39" i="5"/>
  <c r="O68" i="5"/>
  <c r="I16" i="4"/>
  <c r="I13" i="4"/>
  <c r="E14" i="4"/>
  <c r="S55" i="5"/>
  <c r="M14" i="4"/>
  <c r="T67" i="5"/>
  <c r="U67" i="5" s="1"/>
  <c r="AA56" i="5" s="1"/>
  <c r="T54" i="5"/>
  <c r="U54" i="5" s="1"/>
  <c r="AA42" i="5" s="1"/>
  <c r="M13" i="4"/>
  <c r="S41" i="5"/>
  <c r="U66" i="5"/>
  <c r="V66" i="5" s="1"/>
  <c r="Q144" i="5"/>
  <c r="X144" i="5" s="1"/>
  <c r="Y144" i="5" s="1"/>
  <c r="J19" i="4"/>
  <c r="Q68" i="5"/>
  <c r="X68" i="5" s="1"/>
  <c r="Y68" i="5" s="1"/>
  <c r="K15" i="4"/>
  <c r="D15" i="4"/>
  <c r="J12" i="4"/>
  <c r="Q86" i="5"/>
  <c r="AB86" i="5" s="1"/>
  <c r="AC86" i="5" s="1"/>
  <c r="J16" i="4"/>
  <c r="Q159" i="5"/>
  <c r="X159" i="5" s="1"/>
  <c r="Y159" i="5" s="1"/>
  <c r="J20" i="4"/>
  <c r="Q41" i="5"/>
  <c r="J13" i="4"/>
  <c r="Q55" i="5"/>
  <c r="X55" i="5" s="1"/>
  <c r="Y55" i="5" s="1"/>
  <c r="J14" i="4"/>
  <c r="K18" i="4"/>
  <c r="L18" i="4" s="1"/>
  <c r="D18" i="4"/>
  <c r="M19" i="4"/>
  <c r="E19" i="4"/>
  <c r="K19" i="4"/>
  <c r="D19" i="4"/>
  <c r="M20" i="4"/>
  <c r="E20" i="4"/>
  <c r="D12" i="4"/>
  <c r="M12" i="4"/>
  <c r="K11" i="4"/>
  <c r="D11" i="4"/>
  <c r="K14" i="4"/>
  <c r="D14" i="4"/>
  <c r="AB134" i="5"/>
  <c r="AC134" i="5" s="1"/>
  <c r="M15" i="4"/>
  <c r="E15" i="4"/>
  <c r="M18" i="4"/>
  <c r="E18" i="4"/>
  <c r="E16" i="4"/>
  <c r="M16" i="4"/>
  <c r="K16" i="4"/>
  <c r="D16" i="4"/>
  <c r="K20" i="4"/>
  <c r="D20" i="4"/>
  <c r="K13" i="4"/>
  <c r="D13" i="4"/>
  <c r="T22" i="5"/>
  <c r="T154" i="5"/>
  <c r="U154" i="5" s="1"/>
  <c r="V154" i="5" s="1"/>
  <c r="O99" i="5"/>
  <c r="I17" i="4"/>
  <c r="U14" i="5"/>
  <c r="U13" i="5" s="1"/>
  <c r="X134" i="5"/>
  <c r="Y134" i="5" s="1"/>
  <c r="O26" i="5"/>
  <c r="I12" i="4"/>
  <c r="U88" i="5"/>
  <c r="T87" i="5"/>
  <c r="B16" i="4" s="1"/>
  <c r="U43" i="5"/>
  <c r="U59" i="5"/>
  <c r="U56" i="5" s="1"/>
  <c r="T145" i="5"/>
  <c r="U146" i="5"/>
  <c r="O144" i="5"/>
  <c r="I19" i="4"/>
  <c r="N134" i="5"/>
  <c r="G18" i="4"/>
  <c r="N12" i="5"/>
  <c r="G11" i="4"/>
  <c r="P11" i="4" s="1"/>
  <c r="U28" i="5"/>
  <c r="V155" i="5"/>
  <c r="T155" i="5"/>
  <c r="S144" i="5"/>
  <c r="U155" i="5"/>
  <c r="AA145" i="5" s="1"/>
  <c r="U69" i="5"/>
  <c r="V101" i="5"/>
  <c r="T30" i="5"/>
  <c r="U30" i="5" s="1"/>
  <c r="V30" i="5" s="1"/>
  <c r="T97" i="5"/>
  <c r="U97" i="5" s="1"/>
  <c r="V97" i="5" s="1"/>
  <c r="T171" i="5"/>
  <c r="U171" i="5" s="1"/>
  <c r="V171" i="5" s="1"/>
  <c r="S130" i="5"/>
  <c r="Q129" i="5"/>
  <c r="O129" i="5"/>
  <c r="N86" i="5"/>
  <c r="G16" i="4"/>
  <c r="U161" i="5"/>
  <c r="T160" i="5"/>
  <c r="T82" i="5"/>
  <c r="U82" i="5" s="1"/>
  <c r="S68" i="5"/>
  <c r="N41" i="5"/>
  <c r="G13" i="4"/>
  <c r="G14" i="4"/>
  <c r="N55" i="5"/>
  <c r="O134" i="5"/>
  <c r="I18" i="4"/>
  <c r="T143" i="5"/>
  <c r="U143" i="5" s="1"/>
  <c r="S134" i="5"/>
  <c r="U136" i="5"/>
  <c r="T98" i="5"/>
  <c r="U98" i="5" s="1"/>
  <c r="V98" i="5" s="1"/>
  <c r="S86" i="5"/>
  <c r="T172" i="5"/>
  <c r="U172" i="5" s="1"/>
  <c r="S159" i="5"/>
  <c r="T107" i="5"/>
  <c r="U107" i="5" s="1"/>
  <c r="V107" i="5" s="1"/>
  <c r="T81" i="5"/>
  <c r="U81" i="5" s="1"/>
  <c r="V81" i="5" s="1"/>
  <c r="W75" i="5"/>
  <c r="T142" i="5"/>
  <c r="U142" i="5" s="1"/>
  <c r="V142" i="5" s="1"/>
  <c r="Y144" i="1"/>
  <c r="E148" i="1"/>
  <c r="Q26" i="5" l="1"/>
  <c r="Q176" i="5" s="1"/>
  <c r="Q186" i="5"/>
  <c r="Q187" i="5" s="1"/>
  <c r="AB41" i="5"/>
  <c r="AC41" i="5" s="1"/>
  <c r="V67" i="5"/>
  <c r="N68" i="5"/>
  <c r="B20" i="4"/>
  <c r="T159" i="5"/>
  <c r="B19" i="4"/>
  <c r="T144" i="5"/>
  <c r="T100" i="5"/>
  <c r="T40" i="5"/>
  <c r="S26" i="5"/>
  <c r="E154" i="1"/>
  <c r="V54" i="5"/>
  <c r="AB26" i="5"/>
  <c r="AC26" i="5" s="1"/>
  <c r="T39" i="5"/>
  <c r="K12" i="4"/>
  <c r="AB55" i="5"/>
  <c r="X86" i="5"/>
  <c r="Y86" i="5" s="1"/>
  <c r="AB144" i="5"/>
  <c r="AC144" i="5" s="1"/>
  <c r="AB159" i="5"/>
  <c r="AC159" i="5" s="1"/>
  <c r="AB68" i="5"/>
  <c r="AC68" i="5" s="1"/>
  <c r="X41" i="5"/>
  <c r="Y41" i="5" s="1"/>
  <c r="AD144" i="1"/>
  <c r="AE144" i="1"/>
  <c r="AC144" i="1"/>
  <c r="U100" i="5"/>
  <c r="V100" i="5"/>
  <c r="E17" i="4"/>
  <c r="M17" i="4"/>
  <c r="AB12" i="5"/>
  <c r="AC12" i="5" s="1"/>
  <c r="X12" i="5"/>
  <c r="Y12" i="5" s="1"/>
  <c r="T129" i="5"/>
  <c r="U129" i="5" s="1"/>
  <c r="V129" i="5" s="1"/>
  <c r="K17" i="4"/>
  <c r="D17" i="4"/>
  <c r="T55" i="5"/>
  <c r="B14" i="4"/>
  <c r="T41" i="5"/>
  <c r="B13" i="4"/>
  <c r="T177" i="5"/>
  <c r="Q177" i="5"/>
  <c r="V172" i="5"/>
  <c r="AA160" i="5"/>
  <c r="AA87" i="5"/>
  <c r="U135" i="5"/>
  <c r="U134" i="5" s="1"/>
  <c r="V136" i="5"/>
  <c r="V135" i="5" s="1"/>
  <c r="V143" i="5"/>
  <c r="AA135" i="5"/>
  <c r="V82" i="5"/>
  <c r="V68" i="5" s="1"/>
  <c r="AA69" i="5"/>
  <c r="U160" i="5"/>
  <c r="U159" i="5" s="1"/>
  <c r="V161" i="5"/>
  <c r="V160" i="5" s="1"/>
  <c r="V159" i="5" s="1"/>
  <c r="V28" i="5"/>
  <c r="V27" i="5" s="1"/>
  <c r="V26" i="5" s="1"/>
  <c r="U27" i="5"/>
  <c r="U26" i="5" s="1"/>
  <c r="X28" i="5" s="1"/>
  <c r="N26" i="5"/>
  <c r="G12" i="4"/>
  <c r="T130" i="5"/>
  <c r="U130" i="5" s="1"/>
  <c r="S99" i="5"/>
  <c r="S176" i="5" s="1"/>
  <c r="V146" i="5"/>
  <c r="V145" i="5" s="1"/>
  <c r="V144" i="5" s="1"/>
  <c r="U145" i="5"/>
  <c r="U144" i="5" s="1"/>
  <c r="V59" i="5"/>
  <c r="U55" i="5"/>
  <c r="U42" i="5"/>
  <c r="U41" i="5" s="1"/>
  <c r="V43" i="5"/>
  <c r="V42" i="5" s="1"/>
  <c r="V88" i="5"/>
  <c r="V87" i="5" s="1"/>
  <c r="V86" i="5" s="1"/>
  <c r="U87" i="5"/>
  <c r="U86" i="5" s="1"/>
  <c r="V14" i="5"/>
  <c r="U12" i="5"/>
  <c r="Q99" i="5"/>
  <c r="T86" i="5"/>
  <c r="T134" i="5"/>
  <c r="T27" i="5"/>
  <c r="O176" i="5"/>
  <c r="Y102" i="1"/>
  <c r="F106" i="1"/>
  <c r="F105" i="1"/>
  <c r="E106" i="1"/>
  <c r="E105" i="1"/>
  <c r="F73" i="1"/>
  <c r="E73" i="1"/>
  <c r="R49" i="1"/>
  <c r="Q189" i="5" l="1"/>
  <c r="X26" i="5"/>
  <c r="Y26" i="5" s="1"/>
  <c r="V13" i="5"/>
  <c r="V12" i="5" s="1"/>
  <c r="N176" i="5"/>
  <c r="U99" i="5"/>
  <c r="X101" i="5" s="1"/>
  <c r="T99" i="5"/>
  <c r="B17" i="4"/>
  <c r="V56" i="5"/>
  <c r="V55" i="5" s="1"/>
  <c r="V41" i="5"/>
  <c r="AB144" i="1"/>
  <c r="U144" i="1" s="1"/>
  <c r="AD62" i="1"/>
  <c r="AC62" i="1"/>
  <c r="AE62" i="1"/>
  <c r="H73" i="1"/>
  <c r="Y62" i="1"/>
  <c r="Z62" i="1"/>
  <c r="X62" i="1"/>
  <c r="I73" i="1"/>
  <c r="AD102" i="1"/>
  <c r="AE102" i="1"/>
  <c r="AC102" i="1"/>
  <c r="T26" i="5"/>
  <c r="B12" i="4"/>
  <c r="V134" i="5"/>
  <c r="X14" i="5"/>
  <c r="X22" i="5" s="1"/>
  <c r="AA11" i="5"/>
  <c r="AB87" i="5"/>
  <c r="X90" i="5"/>
  <c r="X59" i="5"/>
  <c r="AB56" i="5"/>
  <c r="AB145" i="5"/>
  <c r="X148" i="5"/>
  <c r="AB99" i="5"/>
  <c r="AC99" i="5" s="1"/>
  <c r="X99" i="5"/>
  <c r="Y99" i="5" s="1"/>
  <c r="X43" i="5"/>
  <c r="AB42" i="5"/>
  <c r="V130" i="5"/>
  <c r="V99" i="5" s="1"/>
  <c r="AA100" i="5"/>
  <c r="X161" i="5"/>
  <c r="AB160" i="5"/>
  <c r="X136" i="5"/>
  <c r="AB135" i="5"/>
  <c r="AB100" i="5" l="1"/>
  <c r="AB102" i="1"/>
  <c r="U102" i="1" s="1"/>
  <c r="V176" i="5"/>
  <c r="AB62" i="1"/>
  <c r="W62" i="1"/>
  <c r="T62" i="1" s="1"/>
  <c r="AB218" i="1"/>
  <c r="U218" i="1" s="1"/>
  <c r="W218" i="1"/>
  <c r="T218" i="1" s="1"/>
  <c r="I29" i="1" l="1"/>
  <c r="H29" i="1"/>
  <c r="F29" i="1"/>
  <c r="F25" i="1"/>
  <c r="P16" i="4" l="1"/>
  <c r="I190" i="1" l="1"/>
  <c r="H190" i="1"/>
  <c r="F190" i="1"/>
  <c r="G120" i="1"/>
  <c r="F154" i="1" l="1"/>
  <c r="J63" i="1"/>
  <c r="G63" i="1"/>
  <c r="R63" i="1" s="1"/>
  <c r="E79" i="1"/>
  <c r="F79" i="1"/>
  <c r="O63" i="1" l="1"/>
  <c r="G81" i="1"/>
  <c r="N63" i="1" l="1"/>
  <c r="F30" i="1"/>
  <c r="Z13" i="4" l="1"/>
  <c r="R12" i="4"/>
  <c r="W21" i="4" l="1"/>
  <c r="W24" i="4" s="1"/>
  <c r="K244" i="1" l="1"/>
  <c r="K238" i="1"/>
  <c r="K227" i="1"/>
  <c r="J145" i="1"/>
  <c r="J103" i="1"/>
  <c r="P211" i="1"/>
  <c r="K203" i="1"/>
  <c r="K195" i="1"/>
  <c r="K184" i="1"/>
  <c r="K159" i="1"/>
  <c r="K153" i="1"/>
  <c r="K142" i="1"/>
  <c r="I154" i="1"/>
  <c r="H154" i="1"/>
  <c r="K118" i="1"/>
  <c r="K110" i="1"/>
  <c r="K100" i="1"/>
  <c r="K78" i="1"/>
  <c r="K72" i="1"/>
  <c r="K60" i="1"/>
  <c r="K36" i="1"/>
  <c r="K29" i="1"/>
  <c r="K20" i="1"/>
  <c r="E111" i="1"/>
  <c r="I111" i="1"/>
  <c r="T29" i="1" l="1"/>
  <c r="U29" i="1"/>
  <c r="T60" i="1"/>
  <c r="U60" i="1"/>
  <c r="U78" i="1"/>
  <c r="T78" i="1"/>
  <c r="T110" i="1"/>
  <c r="U110" i="1"/>
  <c r="T153" i="1"/>
  <c r="U153" i="1"/>
  <c r="T184" i="1"/>
  <c r="U184" i="1"/>
  <c r="T203" i="1"/>
  <c r="U203" i="1"/>
  <c r="T227" i="1"/>
  <c r="U227" i="1"/>
  <c r="O244" i="1"/>
  <c r="T244" i="1"/>
  <c r="U244" i="1"/>
  <c r="T20" i="1"/>
  <c r="U20" i="1"/>
  <c r="U36" i="1"/>
  <c r="T36" i="1"/>
  <c r="U72" i="1"/>
  <c r="T72" i="1"/>
  <c r="U100" i="1"/>
  <c r="T100" i="1"/>
  <c r="T118" i="1"/>
  <c r="U118" i="1"/>
  <c r="T142" i="1"/>
  <c r="U142" i="1"/>
  <c r="U159" i="1"/>
  <c r="T159" i="1"/>
  <c r="T195" i="1"/>
  <c r="U195" i="1"/>
  <c r="T238" i="1"/>
  <c r="U238" i="1"/>
  <c r="O145" i="1"/>
  <c r="O103" i="1"/>
  <c r="R145" i="1"/>
  <c r="R103" i="1"/>
  <c r="T169" i="1" l="1"/>
  <c r="U127" i="1"/>
  <c r="T45" i="1"/>
  <c r="N103" i="1"/>
  <c r="U169" i="1"/>
  <c r="T127" i="1"/>
  <c r="T87" i="1"/>
  <c r="U87" i="1"/>
  <c r="N145" i="1"/>
  <c r="AB217" i="1"/>
  <c r="U217" i="1" s="1"/>
  <c r="W217" i="1"/>
  <c r="T217" i="1" s="1"/>
  <c r="AC21" i="4"/>
  <c r="O21" i="4"/>
  <c r="AF21" i="4" s="1"/>
  <c r="AE20" i="4"/>
  <c r="AG20" i="4" s="1"/>
  <c r="AD20" i="4"/>
  <c r="AK20" i="4" s="1"/>
  <c r="AE19" i="4"/>
  <c r="AG19" i="4" s="1"/>
  <c r="AD19" i="4"/>
  <c r="AK19" i="4" s="1"/>
  <c r="AE18" i="4"/>
  <c r="AG18" i="4" s="1"/>
  <c r="Z18" i="4"/>
  <c r="AD18" i="4" s="1"/>
  <c r="AK18" i="4" s="1"/>
  <c r="AE17" i="4"/>
  <c r="AG17" i="4" s="1"/>
  <c r="AD17" i="4"/>
  <c r="AE16" i="4"/>
  <c r="AG16" i="4" s="1"/>
  <c r="Z16" i="4"/>
  <c r="AD16" i="4" s="1"/>
  <c r="AK16" i="4" s="1"/>
  <c r="AE15" i="4"/>
  <c r="AG15" i="4" s="1"/>
  <c r="AD15" i="4"/>
  <c r="AK15" i="4" s="1"/>
  <c r="AE14" i="4"/>
  <c r="AG14" i="4" s="1"/>
  <c r="AE13" i="4"/>
  <c r="AG13" i="4" s="1"/>
  <c r="AE12" i="4"/>
  <c r="AG12" i="4" s="1"/>
  <c r="AE11" i="4"/>
  <c r="AG11" i="4" s="1"/>
  <c r="V21" i="4"/>
  <c r="P19" i="4" l="1"/>
  <c r="I11" i="4"/>
  <c r="R11" i="4" s="1"/>
  <c r="P17" i="4"/>
  <c r="Z11" i="4"/>
  <c r="Z12" i="4"/>
  <c r="AD12" i="4" s="1"/>
  <c r="AK12" i="4" s="1"/>
  <c r="AD14" i="4"/>
  <c r="AK14" i="4" s="1"/>
  <c r="T21" i="4"/>
  <c r="AD13" i="4"/>
  <c r="AK13" i="4" s="1"/>
  <c r="R19" i="4"/>
  <c r="J11" i="4"/>
  <c r="R14" i="4"/>
  <c r="R16" i="4"/>
  <c r="R13" i="4"/>
  <c r="R15" i="4"/>
  <c r="R17" i="4"/>
  <c r="R20" i="4"/>
  <c r="L11" i="4" l="1"/>
  <c r="J21" i="4"/>
  <c r="N11" i="4"/>
  <c r="L20" i="4"/>
  <c r="S18" i="4"/>
  <c r="X18" i="4" s="1"/>
  <c r="AA18" i="4" s="1"/>
  <c r="L15" i="4"/>
  <c r="P14" i="4"/>
  <c r="L13" i="4"/>
  <c r="L17" i="4"/>
  <c r="L19" i="4"/>
  <c r="N19" i="4" s="1"/>
  <c r="L14" i="4"/>
  <c r="S14" i="4" s="1"/>
  <c r="P18" i="4"/>
  <c r="P15" i="4"/>
  <c r="Z21" i="4"/>
  <c r="AD11" i="4"/>
  <c r="AH21" i="4"/>
  <c r="AG21" i="4"/>
  <c r="AI21" i="4"/>
  <c r="S20" i="4" l="1"/>
  <c r="Y20" i="4" s="1"/>
  <c r="AF20" i="4" s="1"/>
  <c r="N20" i="4"/>
  <c r="S19" i="4"/>
  <c r="X19" i="4" s="1"/>
  <c r="AA19" i="4" s="1"/>
  <c r="S17" i="4"/>
  <c r="X17" i="4" s="1"/>
  <c r="AA17" i="4" s="1"/>
  <c r="N17" i="4"/>
  <c r="S15" i="4"/>
  <c r="Y15" i="4" s="1"/>
  <c r="AF15" i="4" s="1"/>
  <c r="N15" i="4"/>
  <c r="AD21" i="4"/>
  <c r="Y18" i="4"/>
  <c r="AB18" i="4" s="1"/>
  <c r="F17" i="4"/>
  <c r="S13" i="4"/>
  <c r="P13" i="4"/>
  <c r="F14" i="4"/>
  <c r="N14" i="4"/>
  <c r="L12" i="4"/>
  <c r="P12" i="4"/>
  <c r="F19" i="4"/>
  <c r="B11" i="4"/>
  <c r="Y14" i="4"/>
  <c r="X14" i="4"/>
  <c r="AA14" i="4" s="1"/>
  <c r="F20" i="4"/>
  <c r="F16" i="4"/>
  <c r="Y17" i="4" l="1"/>
  <c r="AB17" i="4" s="1"/>
  <c r="X20" i="4"/>
  <c r="AA20" i="4" s="1"/>
  <c r="Y19" i="4"/>
  <c r="AB19" i="4" s="1"/>
  <c r="X15" i="4"/>
  <c r="AA15" i="4" s="1"/>
  <c r="AF19" i="4"/>
  <c r="AH19" i="4" s="1"/>
  <c r="AB15" i="4"/>
  <c r="Y13" i="4"/>
  <c r="AF13" i="4" s="1"/>
  <c r="X13" i="4"/>
  <c r="AA13" i="4" s="1"/>
  <c r="AK21" i="4"/>
  <c r="AJ21" i="4"/>
  <c r="AF17" i="4"/>
  <c r="AH17" i="4" s="1"/>
  <c r="AB20" i="4"/>
  <c r="AF18" i="4"/>
  <c r="AH18" i="4" s="1"/>
  <c r="F12" i="4"/>
  <c r="F18" i="4"/>
  <c r="N12" i="4"/>
  <c r="S12" i="4"/>
  <c r="K21" i="4"/>
  <c r="L21" i="4" s="1"/>
  <c r="S11" i="4"/>
  <c r="R18" i="4"/>
  <c r="N18" i="4"/>
  <c r="I21" i="4"/>
  <c r="R21" i="4" s="1"/>
  <c r="E21" i="4"/>
  <c r="G21" i="4"/>
  <c r="N27" i="4" s="1"/>
  <c r="AH20" i="4"/>
  <c r="F13" i="4"/>
  <c r="F11" i="4"/>
  <c r="P20" i="4"/>
  <c r="D21" i="4"/>
  <c r="L16" i="4"/>
  <c r="S16" i="4" s="1"/>
  <c r="X16" i="4" s="1"/>
  <c r="AA16" i="4" s="1"/>
  <c r="M21" i="4"/>
  <c r="N13" i="4"/>
  <c r="AB14" i="4"/>
  <c r="AF14" i="4"/>
  <c r="AH14" i="4" s="1"/>
  <c r="N21" i="4" l="1"/>
  <c r="Z26" i="4" s="1"/>
  <c r="N25" i="4"/>
  <c r="Y11" i="4"/>
  <c r="X11" i="4"/>
  <c r="AB13" i="4"/>
  <c r="AA11" i="4"/>
  <c r="N16" i="4"/>
  <c r="Y16" i="4"/>
  <c r="AF16" i="4" s="1"/>
  <c r="AH16" i="4" s="1"/>
  <c r="AH13" i="4"/>
  <c r="P21" i="4"/>
  <c r="J33" i="4"/>
  <c r="S21" i="4"/>
  <c r="X12" i="4"/>
  <c r="Y12" i="4"/>
  <c r="AB16" i="4" l="1"/>
  <c r="X21" i="4"/>
  <c r="AA12" i="4"/>
  <c r="AA21" i="4" s="1"/>
  <c r="AE21" i="4"/>
  <c r="AB12" i="4"/>
  <c r="AF12" i="4"/>
  <c r="AH12" i="4" s="1"/>
  <c r="AF11" i="4"/>
  <c r="AH11" i="4" s="1"/>
  <c r="AB11" i="4"/>
  <c r="Y21" i="4"/>
  <c r="W33" i="4" s="1"/>
  <c r="AB21" i="4" l="1"/>
  <c r="I56" i="1"/>
  <c r="H56" i="1"/>
  <c r="F56" i="1"/>
  <c r="E56" i="1"/>
  <c r="G56" i="1" s="1"/>
  <c r="AE9" i="1" l="1"/>
  <c r="Z9" i="1"/>
  <c r="AE22" i="1"/>
  <c r="Z22" i="1"/>
  <c r="AE31" i="1"/>
  <c r="Z31" i="1"/>
  <c r="AE35" i="1"/>
  <c r="Z35" i="1"/>
  <c r="Z112" i="1"/>
  <c r="Z141" i="1"/>
  <c r="Z155" i="1"/>
  <c r="W230" i="1" l="1"/>
  <c r="T230" i="1" s="1"/>
  <c r="AB230" i="1"/>
  <c r="U230" i="1" s="1"/>
  <c r="AB240" i="1"/>
  <c r="U240" i="1" s="1"/>
  <c r="W240" i="1"/>
  <c r="T240" i="1" s="1"/>
  <c r="F157" i="1" l="1"/>
  <c r="E157" i="1"/>
  <c r="I114" i="1" l="1"/>
  <c r="H114" i="1"/>
  <c r="F114" i="1"/>
  <c r="E114" i="1"/>
  <c r="O131" i="1" l="1"/>
  <c r="Z91" i="1"/>
  <c r="Z102" i="1"/>
  <c r="Z144" i="1"/>
  <c r="Z131" i="1"/>
  <c r="AE91" i="1"/>
  <c r="U209" i="1" l="1"/>
  <c r="T209" i="1"/>
  <c r="U210" i="1"/>
  <c r="T210" i="1"/>
  <c r="G155" i="1" l="1"/>
  <c r="G62" i="1"/>
  <c r="R62" i="1" l="1"/>
  <c r="G165" i="1"/>
  <c r="G166" i="1"/>
  <c r="G167" i="1"/>
  <c r="G168" i="1"/>
  <c r="G164" i="1"/>
  <c r="G77" i="1"/>
  <c r="G204" i="1" l="1"/>
  <c r="G185" i="1"/>
  <c r="G216" i="1" l="1"/>
  <c r="X155" i="1" l="1"/>
  <c r="X112" i="1"/>
  <c r="W112" i="1" s="1"/>
  <c r="T112" i="1" s="1"/>
  <c r="AC31" i="1" l="1"/>
  <c r="AB31" i="1" s="1"/>
  <c r="U31" i="1" s="1"/>
  <c r="X31" i="1"/>
  <c r="W31" i="1" s="1"/>
  <c r="T31" i="1" s="1"/>
  <c r="AC35" i="1"/>
  <c r="AB35" i="1" s="1"/>
  <c r="U35" i="1" s="1"/>
  <c r="X35" i="1"/>
  <c r="W35" i="1" s="1"/>
  <c r="T35" i="1" s="1"/>
  <c r="AA155" i="1"/>
  <c r="W155" i="1" s="1"/>
  <c r="T155" i="1" s="1"/>
  <c r="X144" i="1"/>
  <c r="W144" i="1" s="1"/>
  <c r="T144" i="1" s="1"/>
  <c r="X141" i="1"/>
  <c r="W141" i="1" s="1"/>
  <c r="T141" i="1" s="1"/>
  <c r="X131" i="1"/>
  <c r="W131" i="1" s="1"/>
  <c r="T131" i="1" s="1"/>
  <c r="G124" i="1"/>
  <c r="X102" i="1"/>
  <c r="W102" i="1" s="1"/>
  <c r="T102" i="1" s="1"/>
  <c r="AC9" i="1" l="1"/>
  <c r="AB9" i="1" s="1"/>
  <c r="U9" i="1" s="1"/>
  <c r="X9" i="1"/>
  <c r="W9" i="1" s="1"/>
  <c r="T9" i="1" s="1"/>
  <c r="AC22" i="1"/>
  <c r="AB22" i="1" s="1"/>
  <c r="U22" i="1" s="1"/>
  <c r="X22" i="1"/>
  <c r="W22" i="1" s="1"/>
  <c r="T22" i="1" s="1"/>
  <c r="X91" i="1"/>
  <c r="W91" i="1" s="1"/>
  <c r="T91" i="1" s="1"/>
  <c r="AC91" i="1"/>
  <c r="AB91" i="1" s="1"/>
  <c r="U91" i="1" s="1"/>
  <c r="J202" i="1" l="1"/>
  <c r="G255" i="1"/>
  <c r="J220" i="1"/>
  <c r="O220" i="1"/>
  <c r="N220" i="1" s="1"/>
  <c r="N124" i="1"/>
  <c r="I233" i="1" l="1"/>
  <c r="H233" i="1"/>
  <c r="F233" i="1"/>
  <c r="E233" i="1"/>
  <c r="P208" i="1" l="1"/>
  <c r="C386" i="1" l="1"/>
  <c r="O382" i="1"/>
  <c r="N382" i="1"/>
  <c r="M382" i="1"/>
  <c r="O379" i="1"/>
  <c r="N379" i="1"/>
  <c r="M379" i="1"/>
  <c r="L378" i="1"/>
  <c r="C371" i="1"/>
  <c r="P367" i="1"/>
  <c r="O367" i="1"/>
  <c r="N367" i="1"/>
  <c r="P364" i="1"/>
  <c r="O364" i="1"/>
  <c r="N364" i="1"/>
  <c r="M363" i="1"/>
  <c r="C358" i="1"/>
  <c r="N354" i="1"/>
  <c r="M354" i="1"/>
  <c r="L354" i="1"/>
  <c r="N351" i="1"/>
  <c r="M351" i="1"/>
  <c r="L351" i="1"/>
  <c r="K350" i="1"/>
  <c r="C345" i="1"/>
  <c r="N341" i="1"/>
  <c r="M341" i="1"/>
  <c r="L341" i="1"/>
  <c r="N338" i="1"/>
  <c r="M338" i="1"/>
  <c r="L338" i="1"/>
  <c r="K337" i="1"/>
  <c r="C332" i="1"/>
  <c r="N328" i="1"/>
  <c r="M328" i="1"/>
  <c r="L328" i="1"/>
  <c r="N325" i="1"/>
  <c r="M325" i="1"/>
  <c r="L325" i="1"/>
  <c r="K324" i="1"/>
  <c r="C316" i="1"/>
  <c r="N312" i="1"/>
  <c r="M312" i="1"/>
  <c r="L312" i="1"/>
  <c r="N309" i="1"/>
  <c r="M309" i="1"/>
  <c r="L309" i="1"/>
  <c r="K308" i="1"/>
  <c r="S257" i="1"/>
  <c r="Q257" i="1"/>
  <c r="P256" i="1"/>
  <c r="U255" i="1"/>
  <c r="P255" i="1"/>
  <c r="N255" i="1" s="1"/>
  <c r="T254" i="1"/>
  <c r="U254" i="1" s="1"/>
  <c r="P254" i="1"/>
  <c r="N254" i="1"/>
  <c r="U253" i="1"/>
  <c r="N252" i="1"/>
  <c r="N251" i="1"/>
  <c r="T250" i="1"/>
  <c r="U250" i="1" s="1"/>
  <c r="N250" i="1"/>
  <c r="T249" i="1"/>
  <c r="U249" i="1" s="1"/>
  <c r="N249" i="1"/>
  <c r="R248" i="1"/>
  <c r="P248" i="1"/>
  <c r="M248" i="1"/>
  <c r="I248" i="1"/>
  <c r="H248" i="1"/>
  <c r="F248" i="1"/>
  <c r="E248" i="1"/>
  <c r="J246" i="1"/>
  <c r="O246" i="1"/>
  <c r="I245" i="1"/>
  <c r="H245" i="1"/>
  <c r="G245" i="1"/>
  <c r="F245" i="1"/>
  <c r="E245" i="1"/>
  <c r="J243" i="1"/>
  <c r="G243" i="1"/>
  <c r="J242" i="1"/>
  <c r="G242" i="1"/>
  <c r="R245" i="1"/>
  <c r="P245" i="1"/>
  <c r="J238" i="1"/>
  <c r="G238" i="1"/>
  <c r="O238" i="1" s="1"/>
  <c r="U237" i="1"/>
  <c r="T237" i="1"/>
  <c r="J237" i="1"/>
  <c r="O237" i="1"/>
  <c r="N237" i="1" s="1"/>
  <c r="P236" i="1"/>
  <c r="U235" i="1"/>
  <c r="T235" i="1"/>
  <c r="J235" i="1"/>
  <c r="O235" i="1"/>
  <c r="N235" i="1" s="1"/>
  <c r="U234" i="1"/>
  <c r="T234" i="1"/>
  <c r="J234" i="1"/>
  <c r="O234" i="1"/>
  <c r="N234" i="1" s="1"/>
  <c r="U233" i="1"/>
  <c r="T233" i="1"/>
  <c r="J233" i="1"/>
  <c r="G233" i="1"/>
  <c r="O233" i="1" s="1"/>
  <c r="N233" i="1" s="1"/>
  <c r="U232" i="1"/>
  <c r="T232" i="1"/>
  <c r="J232" i="1"/>
  <c r="O232" i="1"/>
  <c r="N232" i="1" s="1"/>
  <c r="N230" i="1"/>
  <c r="G227" i="1"/>
  <c r="O227" i="1" s="1"/>
  <c r="J226" i="1"/>
  <c r="G226" i="1"/>
  <c r="O226" i="1" s="1"/>
  <c r="N226" i="1" s="1"/>
  <c r="J225" i="1"/>
  <c r="R228" i="1"/>
  <c r="J224" i="1"/>
  <c r="O224" i="1"/>
  <c r="N224" i="1" s="1"/>
  <c r="J223" i="1"/>
  <c r="O223" i="1"/>
  <c r="N223" i="1" s="1"/>
  <c r="J222" i="1"/>
  <c r="O222" i="1"/>
  <c r="N222" i="1" s="1"/>
  <c r="T221" i="1"/>
  <c r="J221" i="1"/>
  <c r="O221" i="1"/>
  <c r="N221" i="1" s="1"/>
  <c r="N219" i="1"/>
  <c r="T219" i="1" s="1"/>
  <c r="U219" i="1" s="1"/>
  <c r="N218" i="1"/>
  <c r="U215" i="1"/>
  <c r="N215" i="1"/>
  <c r="T214" i="1"/>
  <c r="U214" i="1" s="1"/>
  <c r="N214" i="1"/>
  <c r="N212" i="1"/>
  <c r="N211" i="1"/>
  <c r="T211" i="1" s="1"/>
  <c r="U211" i="1" s="1"/>
  <c r="N210" i="1"/>
  <c r="P209" i="1"/>
  <c r="M208" i="1"/>
  <c r="I208" i="1"/>
  <c r="H208" i="1"/>
  <c r="F208" i="1"/>
  <c r="E208" i="1"/>
  <c r="R207" i="1"/>
  <c r="R208" i="1" s="1"/>
  <c r="J205" i="1"/>
  <c r="S204" i="1"/>
  <c r="Q204" i="1"/>
  <c r="I204" i="1"/>
  <c r="H204" i="1"/>
  <c r="E204" i="1"/>
  <c r="J203" i="1"/>
  <c r="O203" i="1"/>
  <c r="T202" i="1"/>
  <c r="R202" i="1"/>
  <c r="U201" i="1"/>
  <c r="T201" i="1"/>
  <c r="J201" i="1"/>
  <c r="O201" i="1"/>
  <c r="N201" i="1" s="1"/>
  <c r="J198" i="1"/>
  <c r="R198" i="1"/>
  <c r="J197" i="1"/>
  <c r="S196" i="1"/>
  <c r="Q196" i="1"/>
  <c r="I196" i="1"/>
  <c r="E196" i="1"/>
  <c r="J195" i="1"/>
  <c r="G195" i="1"/>
  <c r="O195" i="1" s="1"/>
  <c r="J194" i="1"/>
  <c r="U194" i="1" s="1"/>
  <c r="O194" i="1"/>
  <c r="N194" i="1" s="1"/>
  <c r="J193" i="1"/>
  <c r="U192" i="1"/>
  <c r="T192" i="1"/>
  <c r="J192" i="1"/>
  <c r="O192" i="1"/>
  <c r="N192" i="1" s="1"/>
  <c r="U191" i="1"/>
  <c r="T191" i="1"/>
  <c r="J191" i="1"/>
  <c r="O191" i="1"/>
  <c r="N191" i="1" s="1"/>
  <c r="U190" i="1"/>
  <c r="T190" i="1"/>
  <c r="J190" i="1"/>
  <c r="G190" i="1"/>
  <c r="O190" i="1" s="1"/>
  <c r="N190" i="1" s="1"/>
  <c r="U189" i="1"/>
  <c r="T189" i="1"/>
  <c r="J189" i="1"/>
  <c r="O189" i="1"/>
  <c r="N189" i="1" s="1"/>
  <c r="J187" i="1"/>
  <c r="H196" i="1"/>
  <c r="P196" i="1"/>
  <c r="J186" i="1"/>
  <c r="S185" i="1"/>
  <c r="Q185" i="1"/>
  <c r="J184" i="1"/>
  <c r="G184" i="1"/>
  <c r="O184" i="1" s="1"/>
  <c r="J183" i="1"/>
  <c r="G183" i="1"/>
  <c r="O183" i="1" s="1"/>
  <c r="N183" i="1" s="1"/>
  <c r="J182" i="1"/>
  <c r="I185" i="1"/>
  <c r="H185" i="1"/>
  <c r="F185" i="1"/>
  <c r="E185" i="1"/>
  <c r="U181" i="1"/>
  <c r="T181" i="1"/>
  <c r="J181" i="1"/>
  <c r="O181" i="1"/>
  <c r="N181" i="1" s="1"/>
  <c r="U180" i="1"/>
  <c r="T180" i="1"/>
  <c r="J180" i="1"/>
  <c r="O180" i="1"/>
  <c r="N180" i="1" s="1"/>
  <c r="U179" i="1"/>
  <c r="T179" i="1"/>
  <c r="J179" i="1"/>
  <c r="O179" i="1"/>
  <c r="N179" i="1" s="1"/>
  <c r="U178" i="1"/>
  <c r="T178" i="1"/>
  <c r="J178" i="1"/>
  <c r="O178" i="1"/>
  <c r="N178" i="1" s="1"/>
  <c r="U177" i="1"/>
  <c r="T177" i="1"/>
  <c r="J177" i="1"/>
  <c r="O177" i="1"/>
  <c r="N177" i="1" s="1"/>
  <c r="U176" i="1"/>
  <c r="T176" i="1"/>
  <c r="J176" i="1"/>
  <c r="O176" i="1"/>
  <c r="N176" i="1" s="1"/>
  <c r="U175" i="1"/>
  <c r="T175" i="1"/>
  <c r="J175" i="1"/>
  <c r="O175" i="1"/>
  <c r="N175" i="1" s="1"/>
  <c r="J173" i="1"/>
  <c r="U171" i="1"/>
  <c r="N171" i="1"/>
  <c r="T170" i="1"/>
  <c r="U170" i="1" s="1"/>
  <c r="N170" i="1"/>
  <c r="P168" i="1"/>
  <c r="N168" i="1" s="1"/>
  <c r="P167" i="1"/>
  <c r="N167" i="1" s="1"/>
  <c r="T166" i="1"/>
  <c r="U166" i="1" s="1"/>
  <c r="P166" i="1"/>
  <c r="N166" i="1" s="1"/>
  <c r="U165" i="1"/>
  <c r="P165" i="1"/>
  <c r="N165" i="1" s="1"/>
  <c r="P164" i="1"/>
  <c r="N164" i="1" s="1"/>
  <c r="R163" i="1"/>
  <c r="P163" i="1"/>
  <c r="M163" i="1"/>
  <c r="I163" i="1"/>
  <c r="H163" i="1"/>
  <c r="F163" i="1"/>
  <c r="E163" i="1"/>
  <c r="J161" i="1"/>
  <c r="T161" i="1" s="1"/>
  <c r="S160" i="1"/>
  <c r="Q160" i="1"/>
  <c r="F160" i="1"/>
  <c r="E160" i="1"/>
  <c r="J159" i="1"/>
  <c r="G159" i="1"/>
  <c r="O159" i="1" s="1"/>
  <c r="J158" i="1"/>
  <c r="U158" i="1" s="1"/>
  <c r="G158" i="1"/>
  <c r="U157" i="1"/>
  <c r="T157" i="1"/>
  <c r="J157" i="1"/>
  <c r="G157" i="1"/>
  <c r="O157" i="1" s="1"/>
  <c r="N157" i="1" s="1"/>
  <c r="J155" i="1"/>
  <c r="I160" i="1"/>
  <c r="H160" i="1"/>
  <c r="S154" i="1"/>
  <c r="Q154" i="1"/>
  <c r="J153" i="1"/>
  <c r="G153" i="1"/>
  <c r="O153" i="1" s="1"/>
  <c r="J152" i="1"/>
  <c r="R152" i="1"/>
  <c r="U151" i="1"/>
  <c r="T151" i="1"/>
  <c r="J151" i="1"/>
  <c r="O151" i="1"/>
  <c r="N151" i="1" s="1"/>
  <c r="U150" i="1"/>
  <c r="T150" i="1"/>
  <c r="J150" i="1"/>
  <c r="O150" i="1"/>
  <c r="N150" i="1" s="1"/>
  <c r="U149" i="1"/>
  <c r="T149" i="1"/>
  <c r="J149" i="1"/>
  <c r="O149" i="1"/>
  <c r="N149" i="1" s="1"/>
  <c r="U148" i="1"/>
  <c r="T148" i="1"/>
  <c r="J148" i="1"/>
  <c r="O148" i="1"/>
  <c r="N148" i="1" s="1"/>
  <c r="U147" i="1"/>
  <c r="T147" i="1"/>
  <c r="J147" i="1"/>
  <c r="G147" i="1"/>
  <c r="O147" i="1" s="1"/>
  <c r="N147" i="1" s="1"/>
  <c r="J144" i="1"/>
  <c r="S143" i="1"/>
  <c r="Q143" i="1"/>
  <c r="F143" i="1"/>
  <c r="E143" i="1"/>
  <c r="J142" i="1"/>
  <c r="G142" i="1"/>
  <c r="O142" i="1" s="1"/>
  <c r="J141" i="1"/>
  <c r="R141" i="1"/>
  <c r="U140" i="1"/>
  <c r="T140" i="1"/>
  <c r="J140" i="1"/>
  <c r="G140" i="1"/>
  <c r="O140" i="1" s="1"/>
  <c r="N140" i="1" s="1"/>
  <c r="U139" i="1"/>
  <c r="T139" i="1"/>
  <c r="J139" i="1"/>
  <c r="O139" i="1"/>
  <c r="N139" i="1" s="1"/>
  <c r="U137" i="1"/>
  <c r="T137" i="1"/>
  <c r="J137" i="1"/>
  <c r="O137" i="1"/>
  <c r="N137" i="1" s="1"/>
  <c r="U136" i="1"/>
  <c r="T136" i="1"/>
  <c r="J136" i="1"/>
  <c r="O136" i="1"/>
  <c r="N136" i="1" s="1"/>
  <c r="U135" i="1"/>
  <c r="T135" i="1"/>
  <c r="J135" i="1"/>
  <c r="O135" i="1"/>
  <c r="N135" i="1" s="1"/>
  <c r="U134" i="1"/>
  <c r="T134" i="1"/>
  <c r="J134" i="1"/>
  <c r="O134" i="1"/>
  <c r="N134" i="1" s="1"/>
  <c r="U133" i="1"/>
  <c r="T133" i="1"/>
  <c r="O133" i="1"/>
  <c r="N133" i="1" s="1"/>
  <c r="J133" i="1"/>
  <c r="P143" i="1"/>
  <c r="J131" i="1"/>
  <c r="I143" i="1"/>
  <c r="H143" i="1"/>
  <c r="U129" i="1"/>
  <c r="N129" i="1"/>
  <c r="T128" i="1"/>
  <c r="U128" i="1" s="1"/>
  <c r="N128" i="1"/>
  <c r="N126" i="1"/>
  <c r="U125" i="1"/>
  <c r="N125" i="1"/>
  <c r="N123" i="1"/>
  <c r="G123" i="1"/>
  <c r="R122" i="1"/>
  <c r="P122" i="1"/>
  <c r="M122" i="1"/>
  <c r="I122" i="1"/>
  <c r="H122" i="1"/>
  <c r="F122" i="1"/>
  <c r="E122" i="1"/>
  <c r="J120" i="1"/>
  <c r="G122" i="1"/>
  <c r="S119" i="1"/>
  <c r="Q119" i="1"/>
  <c r="F119" i="1"/>
  <c r="E119" i="1"/>
  <c r="J118" i="1"/>
  <c r="G118" i="1"/>
  <c r="O118" i="1" s="1"/>
  <c r="J117" i="1"/>
  <c r="G117" i="1"/>
  <c r="R117" i="1" s="1"/>
  <c r="U116" i="1"/>
  <c r="T116" i="1"/>
  <c r="J116" i="1"/>
  <c r="G116" i="1"/>
  <c r="O116" i="1" s="1"/>
  <c r="N116" i="1" s="1"/>
  <c r="U115" i="1"/>
  <c r="T115" i="1"/>
  <c r="J115" i="1"/>
  <c r="G115" i="1"/>
  <c r="O115" i="1" s="1"/>
  <c r="N115" i="1" s="1"/>
  <c r="U114" i="1"/>
  <c r="T114" i="1"/>
  <c r="J114" i="1"/>
  <c r="G114" i="1"/>
  <c r="O114" i="1" s="1"/>
  <c r="N114" i="1" s="1"/>
  <c r="J112" i="1"/>
  <c r="I119" i="1"/>
  <c r="H119" i="1"/>
  <c r="R112" i="1"/>
  <c r="R119" i="1" s="1"/>
  <c r="S111" i="1"/>
  <c r="Q111" i="1"/>
  <c r="J110" i="1"/>
  <c r="G110" i="1"/>
  <c r="O110" i="1" s="1"/>
  <c r="J109" i="1"/>
  <c r="R109" i="1"/>
  <c r="U108" i="1"/>
  <c r="T108" i="1"/>
  <c r="J108" i="1"/>
  <c r="O108" i="1"/>
  <c r="N108" i="1" s="1"/>
  <c r="U107" i="1"/>
  <c r="T107" i="1"/>
  <c r="J107" i="1"/>
  <c r="G107" i="1"/>
  <c r="O107" i="1" s="1"/>
  <c r="N107" i="1" s="1"/>
  <c r="U106" i="1"/>
  <c r="T106" i="1"/>
  <c r="J106" i="1"/>
  <c r="G106" i="1"/>
  <c r="O106" i="1" s="1"/>
  <c r="N106" i="1" s="1"/>
  <c r="U105" i="1"/>
  <c r="T105" i="1"/>
  <c r="J105" i="1"/>
  <c r="G105" i="1"/>
  <c r="O105" i="1" s="1"/>
  <c r="N105" i="1" s="1"/>
  <c r="J102" i="1"/>
  <c r="R102" i="1"/>
  <c r="R111" i="1" s="1"/>
  <c r="S101" i="1"/>
  <c r="Q101" i="1"/>
  <c r="F101" i="1"/>
  <c r="E101" i="1"/>
  <c r="J100" i="1"/>
  <c r="G100" i="1"/>
  <c r="O100" i="1" s="1"/>
  <c r="J99" i="1"/>
  <c r="R99" i="1"/>
  <c r="U98" i="1"/>
  <c r="T98" i="1"/>
  <c r="J98" i="1"/>
  <c r="G98" i="1"/>
  <c r="O98" i="1" s="1"/>
  <c r="N98" i="1" s="1"/>
  <c r="U97" i="1"/>
  <c r="T97" i="1"/>
  <c r="J97" i="1"/>
  <c r="O97" i="1"/>
  <c r="N97" i="1" s="1"/>
  <c r="U96" i="1"/>
  <c r="T96" i="1"/>
  <c r="J96" i="1"/>
  <c r="O96" i="1"/>
  <c r="N96" i="1" s="1"/>
  <c r="U95" i="1"/>
  <c r="T95" i="1"/>
  <c r="J95" i="1"/>
  <c r="O95" i="1"/>
  <c r="N95" i="1" s="1"/>
  <c r="U94" i="1"/>
  <c r="T94" i="1"/>
  <c r="J94" i="1"/>
  <c r="G94" i="1"/>
  <c r="O94" i="1" s="1"/>
  <c r="N94" i="1" s="1"/>
  <c r="U93" i="1"/>
  <c r="T93" i="1"/>
  <c r="J93" i="1"/>
  <c r="G93" i="1"/>
  <c r="O93" i="1" s="1"/>
  <c r="N93" i="1" s="1"/>
  <c r="J91" i="1"/>
  <c r="I101" i="1"/>
  <c r="H101" i="1"/>
  <c r="R91" i="1"/>
  <c r="R101" i="1" s="1"/>
  <c r="U89" i="1"/>
  <c r="N89" i="1"/>
  <c r="T88" i="1"/>
  <c r="U88" i="1" s="1"/>
  <c r="N88" i="1"/>
  <c r="G87" i="1"/>
  <c r="N86" i="1"/>
  <c r="U85" i="1"/>
  <c r="N85" i="1"/>
  <c r="T84" i="1"/>
  <c r="U84" i="1" s="1"/>
  <c r="N84" i="1"/>
  <c r="T83" i="1"/>
  <c r="U83" i="1" s="1"/>
  <c r="M82" i="1"/>
  <c r="I82" i="1"/>
  <c r="H82" i="1"/>
  <c r="F82" i="1"/>
  <c r="E82" i="1"/>
  <c r="J80" i="1"/>
  <c r="G80" i="1"/>
  <c r="S79" i="1"/>
  <c r="Q79" i="1"/>
  <c r="J78" i="1"/>
  <c r="G78" i="1"/>
  <c r="O78" i="1" s="1"/>
  <c r="R77" i="1"/>
  <c r="U76" i="1"/>
  <c r="T76" i="1"/>
  <c r="J76" i="1"/>
  <c r="G76" i="1"/>
  <c r="O76" i="1" s="1"/>
  <c r="N76" i="1" s="1"/>
  <c r="J74" i="1"/>
  <c r="I79" i="1"/>
  <c r="H79" i="1"/>
  <c r="R74" i="1"/>
  <c r="S73" i="1"/>
  <c r="Q73" i="1"/>
  <c r="J72" i="1"/>
  <c r="G72" i="1"/>
  <c r="O72" i="1" s="1"/>
  <c r="J71" i="1"/>
  <c r="G71" i="1"/>
  <c r="G73" i="1" s="1"/>
  <c r="U70" i="1"/>
  <c r="T70" i="1"/>
  <c r="J70" i="1"/>
  <c r="O70" i="1"/>
  <c r="N70" i="1" s="1"/>
  <c r="U68" i="1"/>
  <c r="T68" i="1"/>
  <c r="J68" i="1"/>
  <c r="O68" i="1"/>
  <c r="N68" i="1" s="1"/>
  <c r="U67" i="1"/>
  <c r="T67" i="1"/>
  <c r="J67" i="1"/>
  <c r="O67" i="1"/>
  <c r="N67" i="1" s="1"/>
  <c r="U66" i="1"/>
  <c r="T66" i="1"/>
  <c r="J66" i="1"/>
  <c r="O66" i="1"/>
  <c r="N66" i="1" s="1"/>
  <c r="U65" i="1"/>
  <c r="T65" i="1"/>
  <c r="J65" i="1"/>
  <c r="O65" i="1"/>
  <c r="N65" i="1" s="1"/>
  <c r="P73" i="1"/>
  <c r="J62" i="1"/>
  <c r="S61" i="1"/>
  <c r="Q61" i="1"/>
  <c r="H61" i="1"/>
  <c r="F61" i="1"/>
  <c r="F90" i="1" s="1"/>
  <c r="E61" i="1"/>
  <c r="E90" i="1" s="1"/>
  <c r="J60" i="1"/>
  <c r="G60" i="1"/>
  <c r="O60" i="1" s="1"/>
  <c r="P61" i="1"/>
  <c r="J59" i="1"/>
  <c r="G61" i="1"/>
  <c r="U58" i="1"/>
  <c r="T58" i="1"/>
  <c r="O58" i="1"/>
  <c r="N58" i="1" s="1"/>
  <c r="J58" i="1"/>
  <c r="U57" i="1"/>
  <c r="T57" i="1"/>
  <c r="J57" i="1"/>
  <c r="O57" i="1"/>
  <c r="N57" i="1" s="1"/>
  <c r="U56" i="1"/>
  <c r="T56" i="1"/>
  <c r="J56" i="1"/>
  <c r="O56" i="1"/>
  <c r="N56" i="1" s="1"/>
  <c r="U55" i="1"/>
  <c r="T55" i="1"/>
  <c r="J55" i="1"/>
  <c r="O55" i="1"/>
  <c r="N55" i="1" s="1"/>
  <c r="U54" i="1"/>
  <c r="T54" i="1"/>
  <c r="J54" i="1"/>
  <c r="O54" i="1"/>
  <c r="N54" i="1" s="1"/>
  <c r="U53" i="1"/>
  <c r="T53" i="1"/>
  <c r="J53" i="1"/>
  <c r="O53" i="1"/>
  <c r="N53" i="1" s="1"/>
  <c r="U52" i="1"/>
  <c r="T52" i="1"/>
  <c r="J52" i="1"/>
  <c r="O52" i="1"/>
  <c r="N52" i="1" s="1"/>
  <c r="U51" i="1"/>
  <c r="T51" i="1"/>
  <c r="J51" i="1"/>
  <c r="O51" i="1"/>
  <c r="N51" i="1" s="1"/>
  <c r="I61" i="1"/>
  <c r="U47" i="1"/>
  <c r="N47" i="1"/>
  <c r="T46" i="1"/>
  <c r="U46" i="1" s="1"/>
  <c r="N46" i="1"/>
  <c r="G45" i="1"/>
  <c r="N44" i="1"/>
  <c r="T43" i="1"/>
  <c r="U43" i="1" s="1"/>
  <c r="N42" i="1"/>
  <c r="G42" i="1"/>
  <c r="N41" i="1"/>
  <c r="R40" i="1"/>
  <c r="P40" i="1"/>
  <c r="M40" i="1"/>
  <c r="I40" i="1"/>
  <c r="H40" i="1"/>
  <c r="F40" i="1"/>
  <c r="E40" i="1"/>
  <c r="J38" i="1"/>
  <c r="S37" i="1"/>
  <c r="Q37" i="1"/>
  <c r="G36" i="1"/>
  <c r="O36" i="1" s="1"/>
  <c r="R35" i="1"/>
  <c r="U33" i="1"/>
  <c r="T33" i="1"/>
  <c r="J33" i="1"/>
  <c r="G33" i="1"/>
  <c r="O33" i="1" s="1"/>
  <c r="N33" i="1" s="1"/>
  <c r="J31" i="1"/>
  <c r="S30" i="1"/>
  <c r="Q30" i="1"/>
  <c r="E30" i="1"/>
  <c r="J29" i="1"/>
  <c r="G29" i="1"/>
  <c r="O29" i="1" s="1"/>
  <c r="J28" i="1"/>
  <c r="R28" i="1"/>
  <c r="U27" i="1"/>
  <c r="T27" i="1"/>
  <c r="J27" i="1"/>
  <c r="G27" i="1"/>
  <c r="O27" i="1" s="1"/>
  <c r="N27" i="1" s="1"/>
  <c r="U26" i="1"/>
  <c r="T26" i="1"/>
  <c r="J26" i="1"/>
  <c r="G26" i="1"/>
  <c r="O26" i="1" s="1"/>
  <c r="N26" i="1" s="1"/>
  <c r="U25" i="1"/>
  <c r="T25" i="1"/>
  <c r="J25" i="1"/>
  <c r="O25" i="1"/>
  <c r="N25" i="1" s="1"/>
  <c r="U24" i="1"/>
  <c r="T24" i="1"/>
  <c r="J24" i="1"/>
  <c r="G24" i="1"/>
  <c r="O24" i="1" s="1"/>
  <c r="N24" i="1" s="1"/>
  <c r="J22" i="1"/>
  <c r="I30" i="1"/>
  <c r="S21" i="1"/>
  <c r="Q21" i="1"/>
  <c r="F21" i="1"/>
  <c r="F48" i="1" s="1"/>
  <c r="E21" i="1"/>
  <c r="G20" i="1"/>
  <c r="O20" i="1" s="1"/>
  <c r="J19" i="1"/>
  <c r="O19" i="1"/>
  <c r="U18" i="1"/>
  <c r="T18" i="1"/>
  <c r="J18" i="1"/>
  <c r="G18" i="1"/>
  <c r="O18" i="1" s="1"/>
  <c r="N18" i="1" s="1"/>
  <c r="U17" i="1"/>
  <c r="T17" i="1"/>
  <c r="J17" i="1"/>
  <c r="G17" i="1"/>
  <c r="O17" i="1" s="1"/>
  <c r="N17" i="1" s="1"/>
  <c r="U16" i="1"/>
  <c r="T16" i="1"/>
  <c r="J16" i="1"/>
  <c r="G16" i="1"/>
  <c r="O16" i="1" s="1"/>
  <c r="N16" i="1" s="1"/>
  <c r="U15" i="1"/>
  <c r="T15" i="1"/>
  <c r="J15" i="1"/>
  <c r="O15" i="1"/>
  <c r="N15" i="1" s="1"/>
  <c r="U14" i="1"/>
  <c r="T14" i="1"/>
  <c r="J14" i="1"/>
  <c r="G14" i="1"/>
  <c r="O14" i="1" s="1"/>
  <c r="N14" i="1" s="1"/>
  <c r="U13" i="1"/>
  <c r="T13" i="1"/>
  <c r="J13" i="1"/>
  <c r="G13" i="1"/>
  <c r="O13" i="1" s="1"/>
  <c r="N13" i="1" s="1"/>
  <c r="U12" i="1"/>
  <c r="T12" i="1"/>
  <c r="J12" i="1"/>
  <c r="O12" i="1"/>
  <c r="N12" i="1" s="1"/>
  <c r="U11" i="1"/>
  <c r="T11" i="1"/>
  <c r="J11" i="1"/>
  <c r="O11" i="1"/>
  <c r="N11" i="1" s="1"/>
  <c r="P21" i="1"/>
  <c r="J9" i="1"/>
  <c r="I21" i="1"/>
  <c r="H21" i="1"/>
  <c r="G21" i="1"/>
  <c r="AH16" i="2"/>
  <c r="AC15" i="2"/>
  <c r="AC14" i="2"/>
  <c r="AC12" i="2"/>
  <c r="AC11" i="2"/>
  <c r="AC10" i="2"/>
  <c r="T16" i="2"/>
  <c r="AC13" i="2"/>
  <c r="F16" i="2"/>
  <c r="AG11" i="2"/>
  <c r="AF11" i="2"/>
  <c r="N16" i="2"/>
  <c r="R22" i="1" l="1"/>
  <c r="R30" i="1" s="1"/>
  <c r="G30" i="1"/>
  <c r="G48" i="1" s="1"/>
  <c r="O22" i="1"/>
  <c r="R9" i="1"/>
  <c r="O127" i="1"/>
  <c r="L12" i="2" s="1"/>
  <c r="R79" i="1"/>
  <c r="R144" i="1"/>
  <c r="R154" i="1" s="1"/>
  <c r="O144" i="1"/>
  <c r="H90" i="1"/>
  <c r="F172" i="1"/>
  <c r="J227" i="1"/>
  <c r="N100" i="1"/>
  <c r="I130" i="1"/>
  <c r="Q216" i="1"/>
  <c r="N310" i="1"/>
  <c r="N326" i="1"/>
  <c r="M380" i="1"/>
  <c r="O380" i="1"/>
  <c r="L310" i="1"/>
  <c r="L326" i="1"/>
  <c r="L339" i="1"/>
  <c r="L352" i="1"/>
  <c r="N365" i="1"/>
  <c r="G40" i="1"/>
  <c r="O38" i="1"/>
  <c r="O39" i="1" s="1"/>
  <c r="N83" i="1"/>
  <c r="N203" i="1"/>
  <c r="U247" i="1"/>
  <c r="T247" i="1"/>
  <c r="U248" i="1"/>
  <c r="J36" i="1"/>
  <c r="O248" i="1"/>
  <c r="O247" i="1"/>
  <c r="T39" i="1"/>
  <c r="U39" i="1"/>
  <c r="N60" i="1"/>
  <c r="N110" i="1"/>
  <c r="U162" i="1"/>
  <c r="T162" i="1"/>
  <c r="T205" i="1"/>
  <c r="U205" i="1"/>
  <c r="N339" i="1"/>
  <c r="N352" i="1"/>
  <c r="P365" i="1"/>
  <c r="J20" i="1"/>
  <c r="U45" i="1"/>
  <c r="G248" i="1"/>
  <c r="N20" i="1"/>
  <c r="E130" i="1"/>
  <c r="S130" i="1"/>
  <c r="G143" i="1"/>
  <c r="S172" i="1"/>
  <c r="U19" i="1"/>
  <c r="T19" i="1"/>
  <c r="N256" i="1"/>
  <c r="Q48" i="1"/>
  <c r="P30" i="1"/>
  <c r="N120" i="1"/>
  <c r="S48" i="1"/>
  <c r="N29" i="1"/>
  <c r="I48" i="1"/>
  <c r="N36" i="1"/>
  <c r="Q90" i="1"/>
  <c r="G79" i="1"/>
  <c r="P101" i="1"/>
  <c r="F130" i="1"/>
  <c r="Q130" i="1"/>
  <c r="N118" i="1"/>
  <c r="N153" i="1"/>
  <c r="T164" i="1"/>
  <c r="U164" i="1" s="1"/>
  <c r="I216" i="1"/>
  <c r="N313" i="1"/>
  <c r="N314" i="1" s="1"/>
  <c r="N318" i="1" s="1"/>
  <c r="N329" i="1"/>
  <c r="N330" i="1" s="1"/>
  <c r="N334" i="1" s="1"/>
  <c r="N342" i="1"/>
  <c r="N343" i="1" s="1"/>
  <c r="N346" i="1" s="1"/>
  <c r="N355" i="1"/>
  <c r="N356" i="1" s="1"/>
  <c r="N361" i="1" s="1"/>
  <c r="P368" i="1"/>
  <c r="P369" i="1" s="1"/>
  <c r="P376" i="1" s="1"/>
  <c r="O383" i="1"/>
  <c r="O384" i="1" s="1"/>
  <c r="O388" i="1" s="1"/>
  <c r="U183" i="1"/>
  <c r="T183" i="1"/>
  <c r="U16" i="2"/>
  <c r="P37" i="1"/>
  <c r="H130" i="1"/>
  <c r="P204" i="1"/>
  <c r="G208" i="1"/>
  <c r="O205" i="1"/>
  <c r="N205" i="1" s="1"/>
  <c r="AE16" i="2"/>
  <c r="H30" i="1"/>
  <c r="P111" i="1"/>
  <c r="N142" i="1"/>
  <c r="Q172" i="1"/>
  <c r="P228" i="1"/>
  <c r="N217" i="1"/>
  <c r="N244" i="1"/>
  <c r="J244" i="1"/>
  <c r="O236" i="1"/>
  <c r="N236" i="1" s="1"/>
  <c r="J236" i="1"/>
  <c r="I90" i="1"/>
  <c r="P79" i="1"/>
  <c r="P90" i="1" s="1"/>
  <c r="G82" i="1"/>
  <c r="G163" i="1"/>
  <c r="O161" i="1"/>
  <c r="N161" i="1" s="1"/>
  <c r="N240" i="1"/>
  <c r="M313" i="1"/>
  <c r="M314" i="1" s="1"/>
  <c r="M319" i="1" s="1"/>
  <c r="M329" i="1"/>
  <c r="M330" i="1" s="1"/>
  <c r="M331" i="1" s="1"/>
  <c r="M342" i="1"/>
  <c r="M343" i="1" s="1"/>
  <c r="M346" i="1" s="1"/>
  <c r="M355" i="1"/>
  <c r="M356" i="1" s="1"/>
  <c r="M361" i="1" s="1"/>
  <c r="O368" i="1"/>
  <c r="O369" i="1" s="1"/>
  <c r="O376" i="1" s="1"/>
  <c r="N383" i="1"/>
  <c r="N384" i="1" s="1"/>
  <c r="N390" i="1" s="1"/>
  <c r="V16" i="2"/>
  <c r="O49" i="1"/>
  <c r="N49" i="1" s="1"/>
  <c r="J77" i="1"/>
  <c r="E172" i="1"/>
  <c r="S216" i="1"/>
  <c r="N195" i="1"/>
  <c r="P239" i="1"/>
  <c r="E48" i="1"/>
  <c r="S90" i="1"/>
  <c r="N72" i="1"/>
  <c r="N78" i="1"/>
  <c r="P119" i="1"/>
  <c r="G160" i="1"/>
  <c r="P160" i="1"/>
  <c r="N158" i="1"/>
  <c r="N159" i="1"/>
  <c r="N184" i="1"/>
  <c r="O193" i="1"/>
  <c r="N193" i="1" s="1"/>
  <c r="T193" i="1" s="1"/>
  <c r="U193" i="1" s="1"/>
  <c r="O225" i="1"/>
  <c r="N227" i="1"/>
  <c r="R239" i="1"/>
  <c r="R257" i="1" s="1"/>
  <c r="R262" i="1" s="1"/>
  <c r="N238" i="1"/>
  <c r="L313" i="1"/>
  <c r="L314" i="1" s="1"/>
  <c r="L318" i="1" s="1"/>
  <c r="L329" i="1"/>
  <c r="L330" i="1" s="1"/>
  <c r="L334" i="1" s="1"/>
  <c r="L342" i="1"/>
  <c r="L343" i="1" s="1"/>
  <c r="L345" i="1" s="1"/>
  <c r="L355" i="1"/>
  <c r="L356" i="1" s="1"/>
  <c r="L361" i="1" s="1"/>
  <c r="N368" i="1"/>
  <c r="N369" i="1" s="1"/>
  <c r="N374" i="1" s="1"/>
  <c r="M383" i="1"/>
  <c r="M384" i="1" s="1"/>
  <c r="M389" i="1" s="1"/>
  <c r="I172" i="1"/>
  <c r="H216" i="1"/>
  <c r="E216" i="1"/>
  <c r="P154" i="1"/>
  <c r="AC16" i="2"/>
  <c r="T73" i="1"/>
  <c r="U62" i="1"/>
  <c r="U73" i="1" s="1"/>
  <c r="H172" i="1"/>
  <c r="O9" i="1"/>
  <c r="O28" i="1"/>
  <c r="N28" i="1" s="1"/>
  <c r="J49" i="1"/>
  <c r="O62" i="1"/>
  <c r="O74" i="1"/>
  <c r="O77" i="1"/>
  <c r="N77" i="1" s="1"/>
  <c r="O99" i="1"/>
  <c r="N99" i="1" s="1"/>
  <c r="G101" i="1"/>
  <c r="O109" i="1"/>
  <c r="N109" i="1" s="1"/>
  <c r="O117" i="1"/>
  <c r="N117" i="1" s="1"/>
  <c r="G119" i="1"/>
  <c r="R131" i="1"/>
  <c r="R143" i="1" s="1"/>
  <c r="O141" i="1"/>
  <c r="N141" i="1" s="1"/>
  <c r="O152" i="1"/>
  <c r="N152" i="1" s="1"/>
  <c r="T158" i="1"/>
  <c r="R187" i="1"/>
  <c r="O187" i="1"/>
  <c r="L333" i="1"/>
  <c r="M357" i="1"/>
  <c r="N389" i="1"/>
  <c r="M388" i="1"/>
  <c r="R19" i="1"/>
  <c r="O31" i="1"/>
  <c r="R31" i="1"/>
  <c r="R37" i="1" s="1"/>
  <c r="O35" i="1"/>
  <c r="N35" i="1" s="1"/>
  <c r="O59" i="1"/>
  <c r="R59" i="1"/>
  <c r="R61" i="1" s="1"/>
  <c r="O71" i="1"/>
  <c r="R71" i="1"/>
  <c r="R73" i="1" s="1"/>
  <c r="O91" i="1"/>
  <c r="O102" i="1"/>
  <c r="O112" i="1"/>
  <c r="O155" i="1"/>
  <c r="R155" i="1"/>
  <c r="R160" i="1" s="1"/>
  <c r="O173" i="1"/>
  <c r="R173" i="1"/>
  <c r="P185" i="1"/>
  <c r="O186" i="1"/>
  <c r="R186" i="1"/>
  <c r="T194" i="1"/>
  <c r="F216" i="1"/>
  <c r="O197" i="1"/>
  <c r="R197" i="1"/>
  <c r="R204" i="1" s="1"/>
  <c r="O202" i="1"/>
  <c r="N202" i="1" s="1"/>
  <c r="U202" i="1"/>
  <c r="N207" i="1"/>
  <c r="T207" i="1" s="1"/>
  <c r="U207" i="1" s="1"/>
  <c r="N209" i="1"/>
  <c r="N229" i="1"/>
  <c r="O242" i="1"/>
  <c r="N242" i="1" s="1"/>
  <c r="O243" i="1"/>
  <c r="N243" i="1" s="1"/>
  <c r="N246" i="1"/>
  <c r="O198" i="1"/>
  <c r="N198" i="1" s="1"/>
  <c r="O309" i="1"/>
  <c r="M310" i="1"/>
  <c r="O325" i="1"/>
  <c r="M326" i="1"/>
  <c r="O338" i="1"/>
  <c r="M339" i="1"/>
  <c r="O351" i="1"/>
  <c r="M352" i="1"/>
  <c r="Q364" i="1"/>
  <c r="O365" i="1"/>
  <c r="P379" i="1"/>
  <c r="N380" i="1"/>
  <c r="R21" i="1" l="1"/>
  <c r="N358" i="1"/>
  <c r="G130" i="1"/>
  <c r="J11" i="2"/>
  <c r="Q11" i="2" s="1"/>
  <c r="N360" i="1"/>
  <c r="N335" i="1"/>
  <c r="P374" i="1"/>
  <c r="M333" i="1"/>
  <c r="R90" i="1"/>
  <c r="O373" i="1"/>
  <c r="L348" i="1"/>
  <c r="N317" i="1"/>
  <c r="N371" i="1"/>
  <c r="M316" i="1"/>
  <c r="R130" i="1"/>
  <c r="K12" i="2" s="1"/>
  <c r="R12" i="2" s="1"/>
  <c r="M386" i="1"/>
  <c r="M390" i="1"/>
  <c r="P371" i="1"/>
  <c r="O370" i="1"/>
  <c r="L331" i="1"/>
  <c r="L335" i="1"/>
  <c r="N315" i="1"/>
  <c r="N320" i="1"/>
  <c r="M320" i="1"/>
  <c r="P130" i="1"/>
  <c r="J12" i="2" s="1"/>
  <c r="AF12" i="2" s="1"/>
  <c r="O389" i="1"/>
  <c r="P389" i="1" s="1"/>
  <c r="N387" i="1"/>
  <c r="N385" i="1"/>
  <c r="N357" i="1"/>
  <c r="N359" i="1"/>
  <c r="L346" i="1"/>
  <c r="N331" i="1"/>
  <c r="M335" i="1"/>
  <c r="L344" i="1"/>
  <c r="L347" i="1"/>
  <c r="M385" i="1"/>
  <c r="M387" i="1"/>
  <c r="N386" i="1"/>
  <c r="N388" i="1"/>
  <c r="P388" i="1" s="1"/>
  <c r="P370" i="1"/>
  <c r="P373" i="1"/>
  <c r="P375" i="1"/>
  <c r="N347" i="1"/>
  <c r="L332" i="1"/>
  <c r="M332" i="1"/>
  <c r="M334" i="1"/>
  <c r="N316" i="1"/>
  <c r="N319" i="1"/>
  <c r="K13" i="2"/>
  <c r="G90" i="1"/>
  <c r="P216" i="1"/>
  <c r="J15" i="2" s="1"/>
  <c r="Q15" i="2" s="1"/>
  <c r="P172" i="1"/>
  <c r="J14" i="2" s="1"/>
  <c r="AF14" i="2" s="1"/>
  <c r="G172" i="1"/>
  <c r="O374" i="1"/>
  <c r="M315" i="1"/>
  <c r="N375" i="1"/>
  <c r="N344" i="1"/>
  <c r="N348" i="1"/>
  <c r="M317" i="1"/>
  <c r="N225" i="1"/>
  <c r="O371" i="1"/>
  <c r="O375" i="1"/>
  <c r="L358" i="1"/>
  <c r="N345" i="1"/>
  <c r="L315" i="1"/>
  <c r="M318" i="1"/>
  <c r="O318" i="1" s="1"/>
  <c r="Q258" i="1"/>
  <c r="O385" i="1"/>
  <c r="P372" i="1"/>
  <c r="O372" i="1"/>
  <c r="M358" i="1"/>
  <c r="M347" i="1"/>
  <c r="L319" i="1"/>
  <c r="O319" i="1" s="1"/>
  <c r="O82" i="1"/>
  <c r="O81" i="1"/>
  <c r="O45" i="1"/>
  <c r="O386" i="1"/>
  <c r="O390" i="1"/>
  <c r="L359" i="1"/>
  <c r="M359" i="1"/>
  <c r="N332" i="1"/>
  <c r="U245" i="1"/>
  <c r="O87" i="1"/>
  <c r="L11" i="2" s="1"/>
  <c r="T245" i="1"/>
  <c r="O208" i="1"/>
  <c r="O206" i="1"/>
  <c r="O122" i="1"/>
  <c r="O121" i="1"/>
  <c r="U208" i="1"/>
  <c r="U206" i="1"/>
  <c r="N248" i="1"/>
  <c r="E13" i="2" s="1"/>
  <c r="I13" i="2" s="1"/>
  <c r="P13" i="2" s="1"/>
  <c r="N247" i="1"/>
  <c r="K247" i="1" s="1"/>
  <c r="J247" i="1" s="1"/>
  <c r="T248" i="1"/>
  <c r="O387" i="1"/>
  <c r="L360" i="1"/>
  <c r="M360" i="1"/>
  <c r="N333" i="1"/>
  <c r="O333" i="1" s="1"/>
  <c r="N163" i="1"/>
  <c r="E14" i="2" s="1"/>
  <c r="I14" i="2" s="1"/>
  <c r="P14" i="2" s="1"/>
  <c r="N162" i="1"/>
  <c r="K162" i="1" s="1"/>
  <c r="J162" i="1" s="1"/>
  <c r="N122" i="1"/>
  <c r="E12" i="2" s="1"/>
  <c r="I12" i="2" s="1"/>
  <c r="P12" i="2" s="1"/>
  <c r="N121" i="1"/>
  <c r="K121" i="1" s="1"/>
  <c r="J121" i="1" s="1"/>
  <c r="N38" i="1"/>
  <c r="N40" i="1" s="1"/>
  <c r="E10" i="2" s="1"/>
  <c r="O163" i="1"/>
  <c r="O162" i="1"/>
  <c r="O253" i="1"/>
  <c r="L13" i="2" s="1"/>
  <c r="T208" i="1"/>
  <c r="T206" i="1"/>
  <c r="U121" i="1"/>
  <c r="U122" i="1"/>
  <c r="U82" i="1"/>
  <c r="U81" i="1"/>
  <c r="O334" i="1"/>
  <c r="N245" i="1"/>
  <c r="D13" i="2" s="1"/>
  <c r="L357" i="1"/>
  <c r="O357" i="1" s="1"/>
  <c r="O40" i="1"/>
  <c r="T122" i="1"/>
  <c r="T121" i="1"/>
  <c r="T81" i="1"/>
  <c r="T82" i="1"/>
  <c r="P257" i="1"/>
  <c r="J13" i="2" s="1"/>
  <c r="P48" i="1"/>
  <c r="J10" i="2" s="1"/>
  <c r="N208" i="1"/>
  <c r="E15" i="2" s="1"/>
  <c r="N206" i="1"/>
  <c r="K206" i="1" s="1"/>
  <c r="J206" i="1" s="1"/>
  <c r="N59" i="1"/>
  <c r="N61" i="1" s="1"/>
  <c r="B11" i="2" s="1"/>
  <c r="H48" i="1"/>
  <c r="S258" i="1"/>
  <c r="N71" i="1"/>
  <c r="N19" i="1"/>
  <c r="N372" i="1"/>
  <c r="N376" i="1"/>
  <c r="Q376" i="1" s="1"/>
  <c r="M348" i="1"/>
  <c r="L316" i="1"/>
  <c r="L320" i="1"/>
  <c r="N80" i="1"/>
  <c r="O239" i="1"/>
  <c r="N239" i="1" s="1"/>
  <c r="C13" i="2" s="1"/>
  <c r="N373" i="1"/>
  <c r="Q373" i="1" s="1"/>
  <c r="M345" i="1"/>
  <c r="M344" i="1"/>
  <c r="L317" i="1"/>
  <c r="O228" i="1"/>
  <c r="N370" i="1"/>
  <c r="O346" i="1"/>
  <c r="O213" i="1"/>
  <c r="L15" i="2" s="1"/>
  <c r="W15" i="2" s="1"/>
  <c r="O169" i="1"/>
  <c r="L14" i="2" s="1"/>
  <c r="R196" i="1"/>
  <c r="R48" i="1"/>
  <c r="T239" i="1"/>
  <c r="U239" i="1" s="1"/>
  <c r="N197" i="1"/>
  <c r="O204" i="1"/>
  <c r="O160" i="1"/>
  <c r="N155" i="1"/>
  <c r="O119" i="1"/>
  <c r="N112" i="1"/>
  <c r="O101" i="1"/>
  <c r="N91" i="1"/>
  <c r="N173" i="1"/>
  <c r="O154" i="1"/>
  <c r="N144" i="1"/>
  <c r="O111" i="1"/>
  <c r="N102" i="1"/>
  <c r="O37" i="1"/>
  <c r="N31" i="1"/>
  <c r="O79" i="1"/>
  <c r="N74" i="1"/>
  <c r="O21" i="1"/>
  <c r="N9" i="1"/>
  <c r="O361" i="1"/>
  <c r="O331" i="1"/>
  <c r="N187" i="1"/>
  <c r="R172" i="1"/>
  <c r="T30" i="1"/>
  <c r="R182" i="1"/>
  <c r="R185" i="1" s="1"/>
  <c r="O182" i="1"/>
  <c r="O185" i="1" s="1"/>
  <c r="O196" i="1"/>
  <c r="N186" i="1"/>
  <c r="O30" i="1"/>
  <c r="N22" i="1"/>
  <c r="N30" i="1" s="1"/>
  <c r="C10" i="2" s="1"/>
  <c r="N131" i="1"/>
  <c r="O143" i="1"/>
  <c r="O73" i="1"/>
  <c r="N62" i="1"/>
  <c r="U40" i="1"/>
  <c r="T40" i="1"/>
  <c r="O245" i="1"/>
  <c r="O61" i="1"/>
  <c r="U30" i="1"/>
  <c r="R258" i="1" l="1"/>
  <c r="O315" i="1"/>
  <c r="P387" i="1"/>
  <c r="O90" i="1"/>
  <c r="N90" i="1" s="1"/>
  <c r="L10" i="2"/>
  <c r="O48" i="1"/>
  <c r="N48" i="1" s="1"/>
  <c r="Y13" i="2"/>
  <c r="AO13" i="2" s="1"/>
  <c r="N87" i="1"/>
  <c r="Y11" i="2"/>
  <c r="AO11" i="2" s="1"/>
  <c r="Q374" i="1"/>
  <c r="O317" i="1"/>
  <c r="O335" i="1"/>
  <c r="Q371" i="1"/>
  <c r="Q370" i="1"/>
  <c r="O320" i="1"/>
  <c r="O348" i="1"/>
  <c r="Q372" i="1"/>
  <c r="P390" i="1"/>
  <c r="O359" i="1"/>
  <c r="Q375" i="1"/>
  <c r="O316" i="1"/>
  <c r="O347" i="1"/>
  <c r="O345" i="1"/>
  <c r="O332" i="1"/>
  <c r="P386" i="1"/>
  <c r="P385" i="1"/>
  <c r="N169" i="1"/>
  <c r="N127" i="1"/>
  <c r="N213" i="1"/>
  <c r="N45" i="1"/>
  <c r="AG12" i="2"/>
  <c r="T228" i="1"/>
  <c r="T257" i="1" s="1"/>
  <c r="O360" i="1"/>
  <c r="O358" i="1"/>
  <c r="AF15" i="2"/>
  <c r="Q14" i="2"/>
  <c r="U228" i="1"/>
  <c r="U257" i="1" s="1"/>
  <c r="O344" i="1"/>
  <c r="I10" i="2"/>
  <c r="P10" i="2"/>
  <c r="N39" i="1"/>
  <c r="N82" i="1"/>
  <c r="E11" i="2" s="1"/>
  <c r="I11" i="2" s="1"/>
  <c r="P11" i="2" s="1"/>
  <c r="N81" i="1"/>
  <c r="K81" i="1" s="1"/>
  <c r="J81" i="1" s="1"/>
  <c r="N228" i="1"/>
  <c r="O257" i="1"/>
  <c r="H13" i="2" s="1"/>
  <c r="O216" i="1"/>
  <c r="O172" i="1"/>
  <c r="N73" i="1"/>
  <c r="C11" i="2" s="1"/>
  <c r="Q10" i="2"/>
  <c r="P258" i="1"/>
  <c r="Q12" i="2"/>
  <c r="I15" i="2"/>
  <c r="P15" i="2" s="1"/>
  <c r="O261" i="1"/>
  <c r="R216" i="1"/>
  <c r="N143" i="1"/>
  <c r="K14" i="2"/>
  <c r="Z207" i="1"/>
  <c r="N196" i="1"/>
  <c r="C15" i="2" s="1"/>
  <c r="U61" i="1"/>
  <c r="T61" i="1"/>
  <c r="N21" i="1"/>
  <c r="B10" i="2" s="1"/>
  <c r="N79" i="1"/>
  <c r="D11" i="2" s="1"/>
  <c r="AF13" i="2"/>
  <c r="Q13" i="2"/>
  <c r="J16" i="2"/>
  <c r="Q16" i="2" s="1"/>
  <c r="N37" i="1"/>
  <c r="D10" i="2" s="1"/>
  <c r="N111" i="1"/>
  <c r="C12" i="2" s="1"/>
  <c r="N154" i="1"/>
  <c r="C14" i="2" s="1"/>
  <c r="N101" i="1"/>
  <c r="B12" i="2" s="1"/>
  <c r="N119" i="1"/>
  <c r="D12" i="2" s="1"/>
  <c r="N160" i="1"/>
  <c r="D14" i="2" s="1"/>
  <c r="K11" i="2"/>
  <c r="R11" i="2" s="1"/>
  <c r="K10" i="2"/>
  <c r="O130" i="1"/>
  <c r="N182" i="1"/>
  <c r="N204" i="1"/>
  <c r="Y10" i="2" l="1"/>
  <c r="AO10" i="2" s="1"/>
  <c r="K39" i="1"/>
  <c r="J39" i="1" s="1"/>
  <c r="H10" i="2"/>
  <c r="AF10" i="2"/>
  <c r="AF16" i="2" s="1"/>
  <c r="Y12" i="2"/>
  <c r="AO12" i="2" s="1"/>
  <c r="Y15" i="2"/>
  <c r="AO15" i="2" s="1"/>
  <c r="Y14" i="2"/>
  <c r="AO14" i="2" s="1"/>
  <c r="L16" i="2"/>
  <c r="B13" i="2"/>
  <c r="G13" i="2" s="1"/>
  <c r="S13" i="2" s="1"/>
  <c r="AB13" i="2" s="1"/>
  <c r="N257" i="1"/>
  <c r="H11" i="2"/>
  <c r="O11" i="2" s="1"/>
  <c r="E16" i="2"/>
  <c r="I16" i="2"/>
  <c r="P16" i="2" s="1"/>
  <c r="AA207" i="1"/>
  <c r="AA208" i="1" s="1"/>
  <c r="N185" i="1"/>
  <c r="B15" i="2" s="1"/>
  <c r="C16" i="2"/>
  <c r="D15" i="2"/>
  <c r="D16" i="2" s="1"/>
  <c r="N130" i="1"/>
  <c r="H12" i="2"/>
  <c r="U160" i="1"/>
  <c r="T160" i="1"/>
  <c r="T119" i="1"/>
  <c r="U112" i="1"/>
  <c r="U119" i="1" s="1"/>
  <c r="T154" i="1"/>
  <c r="U154" i="1"/>
  <c r="T111" i="1"/>
  <c r="U111" i="1"/>
  <c r="U37" i="1"/>
  <c r="T37" i="1"/>
  <c r="T79" i="1"/>
  <c r="T90" i="1" s="1"/>
  <c r="U79" i="1"/>
  <c r="U90" i="1" s="1"/>
  <c r="T204" i="1"/>
  <c r="U204" i="1"/>
  <c r="N172" i="1"/>
  <c r="H14" i="2"/>
  <c r="N216" i="1"/>
  <c r="H15" i="2"/>
  <c r="R10" i="2"/>
  <c r="R13" i="2"/>
  <c r="AG13" i="2"/>
  <c r="T185" i="1"/>
  <c r="U185" i="1"/>
  <c r="G10" i="2"/>
  <c r="T196" i="1"/>
  <c r="U196" i="1"/>
  <c r="M13" i="2"/>
  <c r="O13" i="2"/>
  <c r="B14" i="2"/>
  <c r="K15" i="2"/>
  <c r="G12" i="2"/>
  <c r="O258" i="1"/>
  <c r="G11" i="2"/>
  <c r="S11" i="2" s="1"/>
  <c r="Z11" i="2" s="1"/>
  <c r="T101" i="1"/>
  <c r="U101" i="1"/>
  <c r="T21" i="1"/>
  <c r="U21" i="1"/>
  <c r="AG14" i="2"/>
  <c r="R14" i="2"/>
  <c r="T143" i="1"/>
  <c r="U143" i="1"/>
  <c r="W16" i="2" l="1"/>
  <c r="Y16" i="2" s="1"/>
  <c r="T48" i="1"/>
  <c r="S12" i="2"/>
  <c r="Z12" i="2" s="1"/>
  <c r="AO16" i="2"/>
  <c r="S10" i="2"/>
  <c r="AL10" i="2" s="1"/>
  <c r="U130" i="1"/>
  <c r="Z13" i="2"/>
  <c r="AA13" i="2"/>
  <c r="T130" i="1"/>
  <c r="N258" i="1"/>
  <c r="M11" i="2"/>
  <c r="T216" i="1"/>
  <c r="U216" i="1"/>
  <c r="U48" i="1"/>
  <c r="G15" i="2"/>
  <c r="S15" i="2" s="1"/>
  <c r="AA15" i="2" s="1"/>
  <c r="AA11" i="2"/>
  <c r="AB11" i="2"/>
  <c r="M10" i="2"/>
  <c r="O10" i="2"/>
  <c r="H16" i="2"/>
  <c r="R15" i="2"/>
  <c r="AG15" i="2"/>
  <c r="G14" i="2"/>
  <c r="S14" i="2" s="1"/>
  <c r="B16" i="2"/>
  <c r="K16" i="2"/>
  <c r="O15" i="2"/>
  <c r="M15" i="2"/>
  <c r="O14" i="2"/>
  <c r="M14" i="2"/>
  <c r="M12" i="2"/>
  <c r="O12" i="2"/>
  <c r="R16" i="2" l="1"/>
  <c r="AA12" i="2"/>
  <c r="AB12" i="2"/>
  <c r="AA10" i="2"/>
  <c r="Z10" i="2"/>
  <c r="AG10" i="2" s="1"/>
  <c r="AG16" i="2" s="1"/>
  <c r="AB10" i="2"/>
  <c r="AM10" i="2" s="1"/>
  <c r="Z15" i="2"/>
  <c r="AB15" i="2"/>
  <c r="U258" i="1"/>
  <c r="AB14" i="2"/>
  <c r="AA14" i="2"/>
  <c r="Z14" i="2"/>
  <c r="AD13" i="2"/>
  <c r="T258" i="1"/>
  <c r="AD11" i="2"/>
  <c r="G16" i="2"/>
  <c r="S16" i="2" s="1"/>
  <c r="M16" i="2"/>
  <c r="O16" i="2"/>
  <c r="AA16" i="2" l="1"/>
  <c r="Z16" i="2"/>
  <c r="AB16" i="2"/>
  <c r="AD10" i="2"/>
  <c r="AD15" i="2"/>
  <c r="AD14" i="2"/>
  <c r="AD12" i="2"/>
  <c r="AD16" i="2" l="1"/>
  <c r="U84" i="5"/>
  <c r="U68" i="5" s="1"/>
  <c r="X70" i="5" l="1"/>
  <c r="AB69" i="5"/>
  <c r="U176" i="5"/>
  <c r="V84" i="5"/>
  <c r="T84" i="5" l="1"/>
  <c r="C15" i="4" s="1"/>
  <c r="C21" i="4" s="1"/>
  <c r="T68" i="5" l="1"/>
  <c r="T176" i="5" s="1"/>
  <c r="B21" i="4" l="1"/>
  <c r="F15" i="4"/>
  <c r="F21" i="4" s="1"/>
  <c r="AH15" i="4"/>
</calcChain>
</file>

<file path=xl/sharedStrings.xml><?xml version="1.0" encoding="utf-8"?>
<sst xmlns="http://schemas.openxmlformats.org/spreadsheetml/2006/main" count="2503" uniqueCount="632">
  <si>
    <t>Приложение № 3</t>
  </si>
  <si>
    <t>2. Общеобразовательные учреждения</t>
  </si>
  <si>
    <t>Наименование учреждения</t>
  </si>
  <si>
    <t>Наименование услуги и уникальный номер реестровой записи</t>
  </si>
  <si>
    <t>Форма организации обучения детей</t>
  </si>
  <si>
    <t>Ед. изм. объема услуги</t>
  </si>
  <si>
    <t>Значение объема муниципальной услуги (работы)</t>
  </si>
  <si>
    <t>Базовый норматив затрат на единицу объема</t>
  </si>
  <si>
    <t>Нормативные затраты на оказание муниципальной услуги (работы)</t>
  </si>
  <si>
    <t>Всего:</t>
  </si>
  <si>
    <t>краевой норматив на общеобразовательные программы</t>
  </si>
  <si>
    <t>краевой норматив на административно-управленч. и учебно-вспомогат.персонал</t>
  </si>
  <si>
    <t>норматив финансирования из местного бюджета, МРОТ</t>
  </si>
  <si>
    <t>в т.ч на  общеобразовательные программы</t>
  </si>
  <si>
    <t>на содержание административно-управленч. и учебно-вспомогат.персонал</t>
  </si>
  <si>
    <t>МРОТ краевой</t>
  </si>
  <si>
    <t>за счет финансирования из местного бюджета</t>
  </si>
  <si>
    <t>МРОТ местный</t>
  </si>
  <si>
    <t>в соответствии с реестром</t>
  </si>
  <si>
    <t>по ОКЕИ</t>
  </si>
  <si>
    <t>в натуральных показателях</t>
  </si>
  <si>
    <t>в рублях</t>
  </si>
  <si>
    <t>МБОУ Школа №2 им.Ю.А.Гагарина</t>
  </si>
  <si>
    <t>Обучение детей  в образовательных организациях, реализующих программы общего образования (k = 1)</t>
  </si>
  <si>
    <t>человек</t>
  </si>
  <si>
    <t>Инклюзивное обучение детей c ограниченными возможностями здоровья в общеобразовательных классах образовательных организаций (k = 9) в т.ч.:</t>
  </si>
  <si>
    <t>х</t>
  </si>
  <si>
    <t>t=4</t>
  </si>
  <si>
    <t>t=5</t>
  </si>
  <si>
    <t>t=6</t>
  </si>
  <si>
    <t>t=7</t>
  </si>
  <si>
    <t>t=8</t>
  </si>
  <si>
    <t>t=9</t>
  </si>
  <si>
    <t>t=10</t>
  </si>
  <si>
    <t>t=12</t>
  </si>
  <si>
    <t>Индивидуальное обучение детей при наличии соответствующего медицинского заключения и детей-инвалидов на дому (k = 10) город</t>
  </si>
  <si>
    <t>Доплата за классное рук</t>
  </si>
  <si>
    <t>кл/комп</t>
  </si>
  <si>
    <t>итого по услуге:</t>
  </si>
  <si>
    <t>Инклюзивное обучение детей c ограниченными возможностями здоровья в общеобразовательных классах образовательных организаций (k = 9)</t>
  </si>
  <si>
    <t>Заочное обучение детей в образовательных организациях, реализующие основные общеобразовательные программы (k =13)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</si>
  <si>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</si>
  <si>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 xml:space="preserve"> </t>
  </si>
  <si>
    <t>На увелич.оплаты труда отдел.катег.раб.</t>
  </si>
  <si>
    <t>краевой бюджет</t>
  </si>
  <si>
    <t>Обеспечение групп продленного дня</t>
  </si>
  <si>
    <t>кол.</t>
  </si>
  <si>
    <t>Доплата за кл.руководство</t>
  </si>
  <si>
    <t>молодой специалист</t>
  </si>
  <si>
    <t>Повышение 10% АУП</t>
  </si>
  <si>
    <t>Всего по учреждению:</t>
  </si>
  <si>
    <t>МБОУ СОШ №4</t>
  </si>
  <si>
    <t>t=11</t>
  </si>
  <si>
    <t xml:space="preserve">Доплата до МРОТ </t>
  </si>
  <si>
    <t>местный бюджет</t>
  </si>
  <si>
    <t>Доплата до МРОТ(разница)</t>
  </si>
  <si>
    <t>МБОУ СОШ №5</t>
  </si>
  <si>
    <t>t=2</t>
  </si>
  <si>
    <t>Доплата за классное рук.</t>
  </si>
  <si>
    <t>кл./комп</t>
  </si>
  <si>
    <t>МБОУ СОШ № 9</t>
  </si>
  <si>
    <t>МАОУ гимназия №10</t>
  </si>
  <si>
    <t>Обучение детей, находящихся на длительном лечении в медицинских учреждениях (индивидуальное, групповое) (k = 11)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</si>
  <si>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</si>
  <si>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Дополнительное образование детей в образовательных организациях, реализующих основные общеобразовательные программы (город) в т.ч.: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</si>
  <si>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</si>
  <si>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Ведение бух.учета</t>
  </si>
  <si>
    <t>Доп.на ведение бух.учета</t>
  </si>
  <si>
    <t>МБОУ СОШ № 7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</si>
  <si>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</si>
  <si>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</si>
  <si>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</si>
  <si>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</si>
  <si>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Индивидуальное обучение детей при наличии соответствующего медицинского заключения и детей-инвалидов на дому (k = 10) село</t>
  </si>
  <si>
    <t>Обучение детей, находящихся на длительном лечении в медицинских учреждениях (индивидуальное, групповое) (k = 11) село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</si>
  <si>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</si>
  <si>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>ВСЕГО:</t>
  </si>
  <si>
    <t>Гайлит Светлана Геннадьевна (39144)3-79-43</t>
  </si>
  <si>
    <t>Мисько Галина Владимировна (39144)3-16-33</t>
  </si>
  <si>
    <t>АУП</t>
  </si>
  <si>
    <t>пед.</t>
  </si>
  <si>
    <t>местн</t>
  </si>
  <si>
    <t>МБОУ №2</t>
  </si>
  <si>
    <t>МБОУ №4</t>
  </si>
  <si>
    <t>МБОУ №5</t>
  </si>
  <si>
    <t>МБОУ №9</t>
  </si>
  <si>
    <t>МАОУ №10</t>
  </si>
  <si>
    <t>МБОУ №7</t>
  </si>
  <si>
    <t>Приложение № 4 к приказу</t>
  </si>
  <si>
    <t>1.  Общеобразовательные учреждения</t>
  </si>
  <si>
    <t>Всего  нормативных затрат на оказание услуг (работ) по учреждению</t>
  </si>
  <si>
    <t>в том числе по источникам финансирования:</t>
  </si>
  <si>
    <t>Объем муниципального задания 2023 год</t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</si>
  <si>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начального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</si>
  <si>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основного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</si>
  <si>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основных общеобразовательных программ </t>
    </r>
    <r>
      <rPr>
        <b/>
        <sz val="10"/>
        <color indexed="8"/>
        <rFont val="Times New Roman"/>
        <family val="1"/>
        <charset val="204"/>
      </rPr>
      <t>среднего</t>
    </r>
    <r>
      <rPr>
        <sz val="10"/>
        <color indexed="8"/>
        <rFont val="Times New Roman"/>
        <family val="1"/>
        <charset val="204"/>
      </rPr>
      <t xml:space="preserve"> общего образования</t>
    </r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</si>
  <si>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общеобразовательных общеразвивающих программ</t>
    </r>
  </si>
  <si>
    <t>Доплата за классное руководство</t>
  </si>
  <si>
    <t>краевые субвенции на  общеобразоват-е программы</t>
  </si>
  <si>
    <t>краевые субвенции на  реализацию дополнительных общеобразоват-х программ</t>
  </si>
  <si>
    <t>краевые субвенции на содержание административно-управленч. и учебно-вспомогат.персонал</t>
  </si>
  <si>
    <t>В т.ч. Иные цели за счет краевых средств</t>
  </si>
  <si>
    <t>краевые субвенции на  общеобразовательные программы</t>
  </si>
  <si>
    <t>Реализация дополнительных общеобразовательных общеразвивающих программ</t>
  </si>
  <si>
    <t>краевые субвенции на  общеобразовательные программы  (0702)</t>
  </si>
  <si>
    <t>Реализация дополнительных общеобразовательных общеразвивающих программ  (0703)</t>
  </si>
  <si>
    <t>Ежемесячное вознаграждение за классное руководство</t>
  </si>
  <si>
    <t xml:space="preserve">Всего объем финасового обеспечения муниципального задания </t>
  </si>
  <si>
    <t>МБОУ "Школа №2 им. Ю.А.Гагарина"</t>
  </si>
  <si>
    <t>МБОУ СОШ №7</t>
  </si>
  <si>
    <t>МБОУ СОШ №9</t>
  </si>
  <si>
    <t>Итого по школам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</si>
  <si>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</t>
    </r>
    <r>
      <rPr>
        <sz val="11"/>
        <color theme="1"/>
        <rFont val="Times New Roman"/>
        <family val="1"/>
        <charset val="204"/>
      </rPr>
      <t xml:space="preserve"> общего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</si>
  <si>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</t>
    </r>
    <r>
      <rPr>
        <sz val="11"/>
        <color theme="1"/>
        <rFont val="Times New Roman"/>
        <family val="1"/>
        <charset val="204"/>
      </rPr>
      <t xml:space="preserve"> общего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</si>
  <si>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основного </t>
    </r>
    <r>
      <rPr>
        <sz val="11"/>
        <color theme="1"/>
        <rFont val="Times New Roman"/>
        <family val="1"/>
        <charset val="204"/>
      </rPr>
      <t>общего образования 802111О.99.0.БАЮ58001; 802111О.99.0.БА96АА00001; 802111О.99.0.БА96АЮ83001</t>
    </r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</si>
  <si>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</si>
  <si>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t>Наименование услуги</t>
  </si>
  <si>
    <t>Форма организации обучения. Направленность групп</t>
  </si>
  <si>
    <t>в т.ч. Местный бюджет</t>
  </si>
  <si>
    <t>Итого:</t>
  </si>
  <si>
    <t>в соответствии с перечнем</t>
  </si>
  <si>
    <t>в т.ч. Краевой бюджет адм-упр.и уч.-вспом. Персонал,руб.</t>
  </si>
  <si>
    <t>Доплата до МРОТ краевой бюджет</t>
  </si>
  <si>
    <t>в т.ч. Местный бюджет, руб.</t>
  </si>
  <si>
    <t>Доплата до МРОТ местный бюджет</t>
  </si>
  <si>
    <t>в т.ч. ВНЕбюджет, руб.</t>
  </si>
  <si>
    <t>МБДОУ д/с № 4</t>
  </si>
  <si>
    <t>801011О.99.0.БВ24ДП02000; 801011О.99.0.БВ24ДН82000; 801011О.99.0.БВ24ГД82000; 801011О.99.0.БВ24АУ02000; 801011О.99.0.БВ24АВ42000;</t>
  </si>
  <si>
    <t>Реализация основных общеобразовательных программ дошкольного образования</t>
  </si>
  <si>
    <t>до 3 лет (b3)</t>
  </si>
  <si>
    <t>чел.</t>
  </si>
  <si>
    <t>от 3 до 7 лет (b8)</t>
  </si>
  <si>
    <t>дети до 3 лет (b3)</t>
  </si>
  <si>
    <t>853211О.99.0.БВ19АА68000; 853211О.99.0.БВ19АА56000; 853211О.99.0.БВ19АБ82000; 853211О.99.0.БВ19АА20000</t>
  </si>
  <si>
    <r>
      <rPr>
        <b/>
        <sz val="11"/>
        <rFont val="Times New Roman"/>
        <family val="1"/>
        <charset val="204"/>
      </rPr>
      <t>Присмотр и уход</t>
    </r>
  </si>
  <si>
    <t>внебюджет</t>
  </si>
  <si>
    <t>МБДОУ д/с № 7</t>
  </si>
  <si>
    <t>Присмотр и уход</t>
  </si>
  <si>
    <t>Повышение на4,3%</t>
  </si>
  <si>
    <t>Повышение оплаты труда до целевого показателя</t>
  </si>
  <si>
    <t>АУП 4,3%</t>
  </si>
  <si>
    <t>МБДОУ д/с № 9</t>
  </si>
  <si>
    <t>МБДОУ д/с № 10</t>
  </si>
  <si>
    <t>до 3 лет  (b3)</t>
  </si>
  <si>
    <t>МБДОУ д/с № 12</t>
  </si>
  <si>
    <t>до 3 лет (b=3)</t>
  </si>
  <si>
    <t>МБДОУ д/с № 13</t>
  </si>
  <si>
    <t>МБДОУ д/с № 14</t>
  </si>
  <si>
    <t>МБДОУ д/с № 15</t>
  </si>
  <si>
    <t>МБДОУ д/с № 18</t>
  </si>
  <si>
    <t>МАДОУ д/с№ 17</t>
  </si>
  <si>
    <t>ИТОГО</t>
  </si>
  <si>
    <t>Ковалева Лариса Валерьевна (39144)3-79-43</t>
  </si>
  <si>
    <t>2. Дошкольные образовательные учреждения</t>
  </si>
  <si>
    <t>Всего нормативных затрат на оказание услуг (работ) по учреждению</t>
  </si>
  <si>
    <t>в том числе по источникам финансирования</t>
  </si>
  <si>
    <t>Коэффициент выравнивания до предельного объема финансирования в 2017 году к Присмотру и уходу</t>
  </si>
  <si>
    <t>Коэффициент выравнивания до предельного объема финансирования в 2017 году к Реализации основных общеобразовательных программ дошкольного образования</t>
  </si>
  <si>
    <t>Краевой бюджет</t>
  </si>
  <si>
    <t>Местный бюджет</t>
  </si>
  <si>
    <t>Присмотр и уход (местный бюджет)</t>
  </si>
  <si>
    <t>Присмотр и уход (родительская плата)</t>
  </si>
  <si>
    <t>за счет краевого бюджета на обеспечение учебного процесса</t>
  </si>
  <si>
    <t>За счет краевого бюджета на административно-управленческий и учебно-вспомогательный персонал</t>
  </si>
  <si>
    <t>присмотр и уход за счет местного бюджета</t>
  </si>
  <si>
    <t>в т.ч. за счет краевого бюджета на обеспечение учебного процесса</t>
  </si>
  <si>
    <t>в т.ч.  За счет краевого бюджета на административно-управленческий и учебно-вспомогат-й персонал</t>
  </si>
  <si>
    <t>в т.ч.  За счет местного бюджета</t>
  </si>
  <si>
    <r>
      <t>в т.ч.  За счет местного бюджета</t>
    </r>
    <r>
      <rPr>
        <sz val="8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(с питанием)</t>
    </r>
  </si>
  <si>
    <t xml:space="preserve">Присмотр и уход (за счет родительской платы)  </t>
  </si>
  <si>
    <t>Всего объем финасового обеспечения муниципального задания (за минусом доходов от предпринимательской деятельности)</t>
  </si>
  <si>
    <t>МБДОУ д/с №14</t>
  </si>
  <si>
    <t>МАДОУ д/с № 17</t>
  </si>
  <si>
    <t>3. Учреждения дополнительного образования детей (местный бюджет)</t>
  </si>
  <si>
    <r>
      <t>Базовый норматив затрат на единицу объема, на</t>
    </r>
    <r>
      <rPr>
        <b/>
        <sz val="8"/>
        <color rgb="FFFF0000"/>
        <rFont val="Times New Roman"/>
        <family val="1"/>
        <charset val="204"/>
      </rPr>
      <t xml:space="preserve"> 26.01.22г.</t>
    </r>
  </si>
  <si>
    <r>
      <t xml:space="preserve">Нормативные затраты на оказание муницп-й услуги, на </t>
    </r>
    <r>
      <rPr>
        <b/>
        <sz val="8"/>
        <color rgb="FFFF0000"/>
        <rFont val="Times New Roman"/>
        <family val="1"/>
        <charset val="204"/>
      </rPr>
      <t>26.01.22г.</t>
    </r>
  </si>
  <si>
    <t>Корректировка бюджета 16.02.22г.</t>
  </si>
  <si>
    <t>Базовый норматив затрат на единицу объема, на 16.02.22г.</t>
  </si>
  <si>
    <t>Нормативные затраты на оказание муницп-й услуги, на 16.02.22г.</t>
  </si>
  <si>
    <t>Корректировка бюджета 01.06.22г.</t>
  </si>
  <si>
    <t>Базовый норматив затрат на единицу объема, на 01.06.22г.</t>
  </si>
  <si>
    <t>Нормативные затраты на оказание муницп-й услуги, на 01.06.22г.</t>
  </si>
  <si>
    <t>Корректировка бюджета 27.07.22г.</t>
  </si>
  <si>
    <t>Базовый норматив затрат на единицу объема, на 27.07.22г.</t>
  </si>
  <si>
    <t>Нормативные затраты на оказание муницп-й услуги, на 27.07.22г.</t>
  </si>
  <si>
    <t>Корректировка бюджета 14.09.22г.</t>
  </si>
  <si>
    <t>Базовый норматив затрат на единицу объема, на 14.09.22г.</t>
  </si>
  <si>
    <t>Нормативные затраты на оказание муницп-й услуги, на 14.09.22г.</t>
  </si>
  <si>
    <t>Корректировка бюджета 23.11.22г.</t>
  </si>
  <si>
    <t>Базовый норматив затрат на единицу объема, на 23.11.22г.</t>
  </si>
  <si>
    <t>Нормативные затраты на оказание муницп-й услуги, на 23.11.22г.</t>
  </si>
  <si>
    <t>Корректировка бюджета 21.12.22г.</t>
  </si>
  <si>
    <t>Базовый норматив затрат на единицу объема, на 21.12.22г.</t>
  </si>
  <si>
    <t>Нормативные затраты на оказание муницп-й услуги, на 21.12.22г.</t>
  </si>
  <si>
    <t>Базовый норматив затрат на единицу объема, на 11.01.21г.</t>
  </si>
  <si>
    <t>Нормативные затраты на оказание муницп-й услуги, на 11.01.21г.</t>
  </si>
  <si>
    <t>Базовый норматив затрат на единицу объема, на 17.02.21г.</t>
  </si>
  <si>
    <t>Нормативные затраты на оказание муницп-й услуги, на 17.02.21г.</t>
  </si>
  <si>
    <t>Базовый норматив затрат на единицу объема, на 31.03.21г.</t>
  </si>
  <si>
    <t>Нормативные затраты на оказание муницп-й услуги, на 31.03.21г.</t>
  </si>
  <si>
    <t>Базовый норматив затрат на единицу объема, на 26.05.21г.</t>
  </si>
  <si>
    <t>Нормативные затраты на оказание муницп-й услуги, на 26.05.21г.</t>
  </si>
  <si>
    <t>Базовый норматив затрат на единицу объема, на 01.10.21г.</t>
  </si>
  <si>
    <t>Нормативные затраты на оказание муницп-й услуги, на 01.10.21г.</t>
  </si>
  <si>
    <t>2019 год c 01.09.2019</t>
  </si>
  <si>
    <t>2019 год срзнач.</t>
  </si>
  <si>
    <t>решение №19-118-ГС от 16.02.2022г.</t>
  </si>
  <si>
    <t>решение №23-144-ГС от 01.06.2022г.</t>
  </si>
  <si>
    <t>решение №25-160-ГС от 27.07.2022г.</t>
  </si>
  <si>
    <t>решение №26-161-ГС от 14.09.2022г.</t>
  </si>
  <si>
    <t>решение №…..-ГС от 23.11.2022г.</t>
  </si>
  <si>
    <t>решение №…..-ГС от 21.12.2022г.</t>
  </si>
  <si>
    <t>(чел/час)</t>
  </si>
  <si>
    <t>2023г.</t>
  </si>
  <si>
    <t>2024г.</t>
  </si>
  <si>
    <t>2025г.</t>
  </si>
  <si>
    <t>добавить к з/п в прилож.№2</t>
  </si>
  <si>
    <t>объем, 2021г.</t>
  </si>
  <si>
    <t>2021г.</t>
  </si>
  <si>
    <t>руб.</t>
  </si>
  <si>
    <t>сумма на МЗ (без спорта)</t>
  </si>
  <si>
    <t>33 417 035,12 сумма на МЗ со спортом</t>
  </si>
  <si>
    <t>сумма на МЗ (без работ-спорта)</t>
  </si>
  <si>
    <t>34 422 689,12 сумма на МЗ со спортом</t>
  </si>
  <si>
    <t>34 259 407,28 сумма на МЗ со споортом</t>
  </si>
  <si>
    <t>34 810 160,28 сумма на МЗ со споортом</t>
  </si>
  <si>
    <t>36087914,28 сумма на МЗ со споортом</t>
  </si>
  <si>
    <t>36683062,96 сумма на МЗ со споортом</t>
  </si>
  <si>
    <t>МБОУ ДО "ДДТ"</t>
  </si>
  <si>
    <t>Реализация дополнительных общеразвивающих программ (социально-гуманитарное направление) 804200О.99.0.ББ52АЖ24000</t>
  </si>
  <si>
    <t>чел.-час.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</si>
  <si>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</si>
  <si>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804200О.99.0.ББ52А368000</t>
  </si>
  <si>
    <t>Реализация дополнительных общеразвивающих программ (физкультурно-спортивная) 804200О.99.0.ББ52АЕ52000</t>
  </si>
  <si>
    <t>Реализация дополнительных общеразвивающих программ (художественное направление) 804200О.99.0.ББ52АЕ76000</t>
  </si>
  <si>
    <t>чел/час</t>
  </si>
  <si>
    <t>Реализация дополнительных общеразвивающих программ (естественно-научное направление) 804200О.99.0.ББ52АЕ28000; 804200О.99.0.ББ52АЕ28000</t>
  </si>
  <si>
    <t>ИТОГО по  услуге :</t>
  </si>
  <si>
    <t>Услуга 1</t>
  </si>
  <si>
    <t>сумма на ПФ</t>
  </si>
  <si>
    <t>Методическое обеспечение образовательной деятельности Р.01.1.0007.0001.002</t>
  </si>
  <si>
    <t xml:space="preserve"> кол-во мероприятий</t>
  </si>
  <si>
    <t>ИТОГО по  работе :</t>
  </si>
  <si>
    <t>Работа 1</t>
  </si>
  <si>
    <t>на 2021г.</t>
  </si>
  <si>
    <t>на 2022-23г.</t>
  </si>
  <si>
    <t>Краевая доплата пед.работ.</t>
  </si>
  <si>
    <t>Повышение на 10%</t>
  </si>
  <si>
    <t>Доплата до МРОТ разница</t>
  </si>
  <si>
    <t>Доплата до МРОТ</t>
  </si>
  <si>
    <t>Итого по учреждению:</t>
  </si>
  <si>
    <t>на 2023г.</t>
  </si>
  <si>
    <t>на 2024-25г.</t>
  </si>
  <si>
    <t>Нормативные затраты на оказание муницп-й услуги, на 11.01.22г.</t>
  </si>
  <si>
    <t>сумма на спорт.объекты</t>
  </si>
  <si>
    <t>без ПФ</t>
  </si>
  <si>
    <t>сумма на МЗ</t>
  </si>
  <si>
    <t>Сумма финансир-я</t>
  </si>
  <si>
    <t>Мисько Галина Владимировна  (39144)3-16-33</t>
  </si>
  <si>
    <t>по бюджетной росписи</t>
  </si>
  <si>
    <t>сумма на объекты спорта и метод.обесп.</t>
  </si>
  <si>
    <t>корректировка 26.05.2021г.</t>
  </si>
  <si>
    <t>разница суммы финансирования м/у 22годом и 23-24годами</t>
  </si>
  <si>
    <t>Нормативные затраты на оказание муницп-й услуги, на 26.01.22г.</t>
  </si>
  <si>
    <t>МЗ + ПФ</t>
  </si>
  <si>
    <t>корректировка 29.09.2021г.</t>
  </si>
  <si>
    <t>МЗ</t>
  </si>
  <si>
    <t>спорт</t>
  </si>
  <si>
    <t>2024-2025гг</t>
  </si>
  <si>
    <t>усл.</t>
  </si>
  <si>
    <t>сумма на м/б по МЗ (усл.1+спорт+метод.обесп)</t>
  </si>
  <si>
    <t>ПФ</t>
  </si>
  <si>
    <t>сумма на услугу1</t>
  </si>
  <si>
    <t>минус с МЗ</t>
  </si>
  <si>
    <t>на эту сумму уменьшить норматив на 24-25гг</t>
  </si>
  <si>
    <t xml:space="preserve">Приложение № 4 к Приказу </t>
  </si>
  <si>
    <t>3. Учреждения дополнительного образования детей</t>
  </si>
  <si>
    <t xml:space="preserve">Реализация дополнительных общеразвивающих программ (учреждения дополнительного образования детей) </t>
  </si>
  <si>
    <t xml:space="preserve">Реализация дополнительных общеразвивающих программ (естественно-научное направление) 804200О.99.0.ББ52АЕ28000 </t>
  </si>
  <si>
    <t>Корректировка бюджета 25.01.23г.</t>
  </si>
  <si>
    <t>решение №30-196-ГС от 25.01.2023г.</t>
  </si>
  <si>
    <t>Базовый норматив затрат на единицу объема, на 25.01.23г.</t>
  </si>
  <si>
    <t>Нормативные затраты на оказание муницп-й услуги, на 25.01.23г.</t>
  </si>
  <si>
    <t>м/б - сумма на МЗ (без спорта)</t>
  </si>
  <si>
    <t>м/б - сумма на МЗ (спорт)</t>
  </si>
  <si>
    <t>м/б - сумма на МЗ (со спортом), по бюджетн.росписи</t>
  </si>
  <si>
    <t>ПФ - сумма без изменений, по бюджетн.росписи</t>
  </si>
  <si>
    <t>реализация основных, общеобразовательных программ (МБ)</t>
  </si>
  <si>
    <t>Всего за счет местного бюджета</t>
  </si>
  <si>
    <r>
      <rPr>
        <sz val="10"/>
        <color rgb="FF0070C0"/>
        <rFont val="Times New Roman"/>
        <family val="1"/>
        <charset val="204"/>
      </rPr>
      <t>Услуга сверх МЗ</t>
    </r>
    <r>
      <rPr>
        <sz val="10"/>
        <rFont val="Times New Roman"/>
        <family val="1"/>
        <charset val="204"/>
      </rPr>
      <t xml:space="preserve"> присмотр и уход (за счет родительской платы)</t>
    </r>
  </si>
  <si>
    <t>в том числе:</t>
  </si>
  <si>
    <t>в том числе по услугам:</t>
  </si>
  <si>
    <r>
      <t xml:space="preserve">присмотр и уход за счет местного бюджета </t>
    </r>
    <r>
      <rPr>
        <i/>
        <sz val="6"/>
        <color rgb="FF0070C0"/>
        <rFont val="Times New Roman"/>
        <family val="1"/>
        <charset val="204"/>
      </rPr>
      <t xml:space="preserve"> </t>
    </r>
  </si>
  <si>
    <t>коэф-т объема финансирования к нормативу</t>
  </si>
  <si>
    <t>коэф-т выше 1,0, т.к. в январе 2023г.были выделены доп.суммы на рег.выплаты(9месяцев), т.е. это МРОТ, а в нормативах этой суммы -нет.</t>
  </si>
  <si>
    <t>1. Дошкольные образовательные учреждения</t>
  </si>
  <si>
    <t>К1 Группы общеразвивающей направленности (за исключением малокомплектных образовательных организаций) (1 группа)</t>
  </si>
  <si>
    <t>К2 Группы компенсирующей направленности (за исключением малокомплектных образовательных организаций) (3группы)</t>
  </si>
  <si>
    <t>K1 Группы общеразвивающей направленности (за исключением малокомплектных образовательных организаций) (1 группа)</t>
  </si>
  <si>
    <t>K3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</si>
  <si>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К9 Группы общеразвив. направленности, в которых воспитанники посещают бассейн (1группа)</t>
  </si>
  <si>
    <t>К9 Группы общеразвивающей направленности, в которых воспитанники посещают бассейн (1группа)</t>
  </si>
  <si>
    <t>К11 Группы комбинированной направленности, в которых воспитанники посещают бассейн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</si>
  <si>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(6групп)</t>
  </si>
  <si>
    <t>К1 Группы общеразвивающей направленности (за исключением малокомплектных образовательных организаций) (1группа)</t>
  </si>
  <si>
    <t>итого:</t>
  </si>
  <si>
    <t xml:space="preserve">Всего объем финасового обеспечения на выполнение МЗ </t>
  </si>
  <si>
    <r>
      <t xml:space="preserve">в т.ч.  За счет краевого бюджета на административно-управленческий и учебно-вспомогательный персонал              </t>
    </r>
    <r>
      <rPr>
        <i/>
        <sz val="5"/>
        <rFont val="Times New Roman"/>
        <family val="1"/>
        <charset val="204"/>
      </rPr>
      <t xml:space="preserve"> </t>
    </r>
  </si>
  <si>
    <r>
      <t>в т.ч. за счет краевого бюджета на обеспечение учебного процесса</t>
    </r>
    <r>
      <rPr>
        <i/>
        <sz val="5"/>
        <rFont val="Times New Roman"/>
        <family val="1"/>
        <charset val="204"/>
      </rPr>
      <t xml:space="preserve"> </t>
    </r>
  </si>
  <si>
    <t>Корректировка бюджета 29.03.23г.</t>
  </si>
  <si>
    <t>решение №...-...-ГС от 29.03.2023г.</t>
  </si>
  <si>
    <t>Базовый норматив затрат на единицу объема, на 29.03.23г.</t>
  </si>
  <si>
    <t>Нормативные затраты на оказание муницп-й услуги, на 29.03.23г.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</si>
  <si>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среднего общего</t>
    </r>
    <r>
      <rPr>
        <sz val="11"/>
        <color theme="1"/>
        <rFont val="Times New Roman"/>
        <family val="1"/>
        <charset val="204"/>
      </rPr>
      <t xml:space="preserve"> образования 802112О.99.0.ББ11АЮ58001; 802112О.99.0.ББ11АА00001; 802112О.99.0.ББ11АЮ83001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</si>
  <si>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</t>
    </r>
    <r>
      <rPr>
        <sz val="11"/>
        <color theme="1"/>
        <rFont val="Times New Roman"/>
        <family val="1"/>
        <charset val="204"/>
      </rPr>
      <t xml:space="preserve"> образования 802111О.99.0.БАЮ58001; 802111О.99.0.БА96АА00001; 802111О.99.0.БА96АЮ83001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</si>
  <si>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начального общего</t>
    </r>
    <r>
      <rPr>
        <sz val="11"/>
        <color theme="1"/>
        <rFont val="Times New Roman"/>
        <family val="1"/>
        <charset val="204"/>
      </rPr>
      <t xml:space="preserve"> образования 801012О.99.0.БА81АЭ92001; 801012О.99.0.БА81АА00001; 801012О.99.0.БА81АЮ16001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</si>
  <si>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</t>
    </r>
    <r>
      <rPr>
        <sz val="11"/>
        <color theme="1"/>
        <rFont val="Times New Roman"/>
        <family val="1"/>
        <charset val="204"/>
      </rPr>
      <t xml:space="preserve"> общего образования 802111О.99.0.БАЮ58001; 802111О.99.0.БА96АА00001; 802111О.99.0.БА96АЮ83001</t>
    </r>
  </si>
  <si>
    <r>
      <t>Реализация</t>
    </r>
    <r>
      <rPr>
        <b/>
        <sz val="11"/>
        <rFont val="Times New Roman"/>
        <family val="1"/>
        <charset val="204"/>
      </rPr>
      <t xml:space="preserve"> дополнительных</t>
    </r>
    <r>
      <rPr>
        <sz val="11"/>
        <rFont val="Times New Roman"/>
        <family val="1"/>
        <charset val="204"/>
      </rPr>
      <t xml:space="preserve"> общеобразовательных общеразвивающих программ 801012О.99.0.ББ57АЕ52000; 804200О.99.0.ББ52АЕ76000; 804200О.99.0.ББ52АЕ04000; 804200О.99.0.ББ52АЖ24000  </t>
    </r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</si>
  <si>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 xml:space="preserve">среднего </t>
    </r>
    <r>
      <rPr>
        <sz val="11"/>
        <color theme="1"/>
        <rFont val="Times New Roman"/>
        <family val="1"/>
        <charset val="204"/>
      </rPr>
      <t>общего образования 802112О.99.0.ББ11АЮ58001; 802112О.99.0.ББ11АА00001; 802112О.99.0.ББ11АЮ83001</t>
    </r>
  </si>
  <si>
    <t>Очно-заочное образ.+классное рук-во</t>
  </si>
  <si>
    <t>Среднее образ-е</t>
  </si>
  <si>
    <t>решение ГС №34-205-НПА от 24.05.23г.</t>
  </si>
  <si>
    <t>Корректировка бюджета 24.05.23г.</t>
  </si>
  <si>
    <t>Базовый норматив затрат на единицу объема, на 24.05.23г.</t>
  </si>
  <si>
    <t>Нормативные затраты на оказание муницп-й услуги, на 24.05.23г.</t>
  </si>
  <si>
    <t>разница между доходом по ПФ и заявкой</t>
  </si>
  <si>
    <t>направленность</t>
  </si>
  <si>
    <t>техническая</t>
  </si>
  <si>
    <t>естественно-науч.</t>
  </si>
  <si>
    <t>плюсом- кол-во чел/час (1вар)</t>
  </si>
  <si>
    <t>плюсом- кол-во чел/час (вар.2 с 01.09.23г)</t>
  </si>
  <si>
    <t>сред.норматив</t>
  </si>
  <si>
    <t>итого доход учреждения по ПФ ДОД с учетом суммы заявки на 09.08.23г.</t>
  </si>
  <si>
    <t>сумма краевой субсидии</t>
  </si>
  <si>
    <t>до 3 лет (b3) t1/речь</t>
  </si>
  <si>
    <t>854025,01- на 1 класс+27940,38 на 1 человека</t>
  </si>
  <si>
    <t>806713,32- на 1 класс+27940,38 на 1 человека</t>
  </si>
  <si>
    <t>2026 год</t>
  </si>
  <si>
    <t>от 3 до 8 лет (b8)</t>
  </si>
  <si>
    <t xml:space="preserve"> от 3 до 8 лет (b8) t1/речь</t>
  </si>
  <si>
    <t>от 3 до 8 лет (b8) t1/речь</t>
  </si>
  <si>
    <t>от 3 до 8 лет(b8) t1/речь</t>
  </si>
  <si>
    <t>от 3 до 8 лет(b8)</t>
  </si>
  <si>
    <t>от 3 до 8 лет (b=8)</t>
  </si>
  <si>
    <t>от 3 до 8 лет (b=8) t1/речь</t>
  </si>
  <si>
    <t>Объем финансового обеспечения на выполнение муниципального задания на 2026 год</t>
  </si>
  <si>
    <t xml:space="preserve">Объем финансового обеспечения на выполнение муниципального задания на 2026 год </t>
  </si>
  <si>
    <t>от 3 до 8 лет (b8) t7/ДЦП</t>
  </si>
  <si>
    <t xml:space="preserve">от 3 до 8 лет </t>
  </si>
  <si>
    <t>дети инвалиды по МЗ</t>
  </si>
  <si>
    <t>ОВЗ</t>
  </si>
  <si>
    <t>сироты по МЗ</t>
  </si>
  <si>
    <t>по Дорожной карте, в расчете сумма:</t>
  </si>
  <si>
    <t>В бюджетной росписи от 23.12.2023г.сумма на МЗ:</t>
  </si>
  <si>
    <t>Краевая Субсидия: 5 418 386,0 руб., из них на МЗ 39%- 2 113 170,35 руб.</t>
  </si>
  <si>
    <t>Итого по бюджетной росписи:</t>
  </si>
  <si>
    <t>норматив уменьшить на</t>
  </si>
  <si>
    <t>Итого сумма на услугу (без работы "Методич.обеспеч…."), равна:</t>
  </si>
  <si>
    <t>м/б</t>
  </si>
  <si>
    <t>Кол-во ОВЗ на 1чел.больше, т.к.он ещё и надомник</t>
  </si>
  <si>
    <t xml:space="preserve">от 3 до 8 лет (b8) </t>
  </si>
  <si>
    <t>К3 Группы комбинированной направленности (за исключением малокомплектных образовательных организаций), городской населенный пункт (5группы)</t>
  </si>
  <si>
    <t>от 3 до 8 лет (b8) t8/псих.</t>
  </si>
  <si>
    <t>Численность на м/б, на 2024-2026гг</t>
  </si>
  <si>
    <t>Нормативные затраты на оказание муницп-й услуги, на 11.01.24г.</t>
  </si>
  <si>
    <t>Базовый норматив затрат на единицу объема, на 11.01.24г.</t>
  </si>
  <si>
    <t>Корректировка бюджета 24.04.24г.</t>
  </si>
  <si>
    <t>решение ГС №46-288-НПА от 24.04.24г.</t>
  </si>
  <si>
    <t>Базовый норматив затрат на единицу объема, на 24.04.24г.</t>
  </si>
  <si>
    <t>Нормативные затраты на оказание муницп-й услуги, на 24.04.24г.</t>
  </si>
  <si>
    <t>Бюджетная Роспись от 29.12.2023г.</t>
  </si>
  <si>
    <t>Корректировка бюджета от 20.12.2023г</t>
  </si>
  <si>
    <t>решение ДГС №42-252-ГС от 20.12.23г.</t>
  </si>
  <si>
    <t>м/б - сумма на МЗ (с работой "Метод.обеспеч."), по бюджетн.росписи</t>
  </si>
  <si>
    <t>Комун.усл. …8062Т</t>
  </si>
  <si>
    <t>прочие усл. …80620</t>
  </si>
  <si>
    <t>ЗП … 8062Z</t>
  </si>
  <si>
    <t>м/б - сумма на МЗ (работа "Метод.обеспеч.)</t>
  </si>
  <si>
    <t>м/б - сумма на МЗ (без работы)</t>
  </si>
  <si>
    <t>ПФ СЗ сумма по бюджетн.росписи</t>
  </si>
  <si>
    <t>Бюджетная Роспись от 03.06.2024г.</t>
  </si>
  <si>
    <t>ПФ СЗ, …8065Е  квр 614</t>
  </si>
  <si>
    <t>Субсидия на МЗ,  …7568 D</t>
  </si>
  <si>
    <t>Субсидия на ПФ,  …7568 Е</t>
  </si>
  <si>
    <t>софинансирование из м/б,  …S568Е</t>
  </si>
  <si>
    <t>разница (50 368 974,57 - 45 830 885,50)=</t>
  </si>
  <si>
    <t>сумма с софинансир-ем</t>
  </si>
  <si>
    <t>сумма на МЗ без субсидии</t>
  </si>
  <si>
    <t>сумма на МЗ с субсидией</t>
  </si>
  <si>
    <t>сумма без работы</t>
  </si>
  <si>
    <t>Сумма по учреждению без софинансирования,  т.к. эти 59 869,07 руб. из м/б.падают на ПФ СЗ</t>
  </si>
  <si>
    <t>сумма на МЗ с субсидией и прибавила софинансир-е 59 869,07 руб.</t>
  </si>
  <si>
    <t>сумма на МЗ с субсидией и прибавила софинансир-е 59 869,07 руб., но без работы</t>
  </si>
  <si>
    <t>Корректировка бюджета 26.06.24г.</t>
  </si>
  <si>
    <t>решение ГС №49-295-НПА от 26.06.24г.</t>
  </si>
  <si>
    <t>Бюджетная Роспись от 27.06.2024г.</t>
  </si>
  <si>
    <t>Базовый норматив затрат на единицу объема, на 28.06.24г.</t>
  </si>
  <si>
    <t>Нормативные затраты на оказание муницп-й услуги, на 28.06.24г.</t>
  </si>
  <si>
    <t>сумма МЗ без работы</t>
  </si>
  <si>
    <t>сумма на МЗ без работы</t>
  </si>
  <si>
    <t>работа "Метод.обеспеч…"</t>
  </si>
  <si>
    <t>субсидия на МЗ увеличилась на 133 651,56 на доп.места</t>
  </si>
  <si>
    <t>субсидия на СЗ увеличилась на 375 000,00 на доп.места</t>
  </si>
  <si>
    <t>Итого на МЗ:</t>
  </si>
  <si>
    <t>Итого на СЗ:</t>
  </si>
  <si>
    <t>Итого на учрежд-е:</t>
  </si>
  <si>
    <t>Итого на МЗ без работы:</t>
  </si>
  <si>
    <t>Сумма по учреждению с софинансир-ем (59 869,07 руб.) и увелич.субсидии на доп.места по МЗ и ПФ СЗ</t>
  </si>
  <si>
    <t>Корректировка бюджета 07.08.24г.</t>
  </si>
  <si>
    <t>решение ГС №50-301-НПА от 07.08.24г.</t>
  </si>
  <si>
    <t>Бюджетная Роспись от 08.08.2024г.</t>
  </si>
  <si>
    <t>прибавить к нормативу</t>
  </si>
  <si>
    <t>Базовый норматив затрат на единицу объема, на 08.08.24г.</t>
  </si>
  <si>
    <t>Нормативные затраты на оказание муницп-й услуги, на 08.08.24г.</t>
  </si>
  <si>
    <t>Корректировка бюджета 25.09.24г.</t>
  </si>
  <si>
    <t>решение ГС №  -    -НПА от 25.09.24г.</t>
  </si>
  <si>
    <t>Бюджетная Роспись от 30.09.2024г.</t>
  </si>
  <si>
    <t>Базовый норматив затрат на единицу объема, на 30.09.24г.</t>
  </si>
  <si>
    <t>Нормативные затраты на оказание муницп-й услуги, на 30.09.24г.</t>
  </si>
  <si>
    <t>прибавить к нормативу на ПФ</t>
  </si>
  <si>
    <t>ПФ - сумма, по бюджетн.росписи</t>
  </si>
  <si>
    <t>Корректировка бюджета 13.11.24г.</t>
  </si>
  <si>
    <t>Бюджетная Роспись от 15.11.2024г.</t>
  </si>
  <si>
    <t>решение ГС №52-313-НПА от 13.11.24г.</t>
  </si>
  <si>
    <t>Базовый норматив затрат на единицу объема, на 15.11.24г.</t>
  </si>
  <si>
    <t>Нормативные затраты на оказание муницп-й услуги, на 15.11.24г.</t>
  </si>
  <si>
    <t>отнять от норматива на ПФ</t>
  </si>
  <si>
    <t>прибавить к нормативу на МЗ</t>
  </si>
  <si>
    <t>С СЗ сняли и добавили на ПФ на з/п</t>
  </si>
  <si>
    <t>2025-2026гг., было</t>
  </si>
  <si>
    <t>2025-2026гг., стало</t>
  </si>
  <si>
    <t>объем по ПФ СЗ</t>
  </si>
  <si>
    <r>
      <t xml:space="preserve">ср.Численность на м/б, на 2024-2026гг, </t>
    </r>
    <r>
      <rPr>
        <b/>
        <sz val="9"/>
        <rFont val="Times New Roman"/>
        <family val="1"/>
        <charset val="204"/>
      </rPr>
      <t>по МЗ от 01.10.2024г</t>
    </r>
  </si>
  <si>
    <t>Нормативные затраты на оказание муницп-й услуги, на 15.11.24г. (численность изменилась по МЗ от 01.10.24г)</t>
  </si>
  <si>
    <t>Базовый норматив затрат на единицу объема, 2025-2026гг., на 15.11.24г (численность изменилась по МЗ от 01.10.24г)</t>
  </si>
  <si>
    <t>Базовый норматив затрат на единицу объема, 2025-2026гг    (на 11.01.2024г)</t>
  </si>
  <si>
    <t>27.11.2024г.</t>
  </si>
  <si>
    <t>социально-гуманитарная</t>
  </si>
  <si>
    <t>туристско-краеведческая</t>
  </si>
  <si>
    <t>физкультурно-спортивная</t>
  </si>
  <si>
    <t>художественная</t>
  </si>
  <si>
    <t>естественнонаучная</t>
  </si>
  <si>
    <t>в т.ч. Краевой бюджет адм-упр.и уч-вспом. Персонал с коэффициен-м</t>
  </si>
  <si>
    <r>
      <t xml:space="preserve">Обучение детей  в образовательных организациях, реализующих программы общего образования </t>
    </r>
    <r>
      <rPr>
        <b/>
        <sz val="11"/>
        <color theme="1"/>
        <rFont val="Times New Roman"/>
        <family val="1"/>
        <charset val="204"/>
      </rPr>
      <t xml:space="preserve">математический класс </t>
    </r>
    <r>
      <rPr>
        <sz val="11"/>
        <color theme="1"/>
        <rFont val="Times New Roman"/>
        <family val="1"/>
        <charset val="204"/>
      </rPr>
      <t>(k = 1)</t>
    </r>
  </si>
  <si>
    <t>2027 год</t>
  </si>
  <si>
    <t>Объем финансового обеспечения на выполнение муниципального задания на 2027 год</t>
  </si>
  <si>
    <t>2027 год, всего</t>
  </si>
  <si>
    <t>2027г</t>
  </si>
  <si>
    <r>
      <t xml:space="preserve">Реализация основных общеобразовательных программ </t>
    </r>
    <r>
      <rPr>
        <b/>
        <sz val="11"/>
        <color theme="1"/>
        <rFont val="Times New Roman"/>
        <family val="1"/>
        <charset val="204"/>
      </rPr>
      <t>основного общего образования</t>
    </r>
    <r>
      <rPr>
        <sz val="11"/>
        <color theme="1"/>
        <rFont val="Times New Roman"/>
        <family val="1"/>
        <charset val="204"/>
      </rPr>
      <t xml:space="preserve"> 802111О.99.0.БАЮ58001; 802111О.99.0.БА96АА00001; 802111О.99.0.БА96АЮ83001</t>
    </r>
  </si>
  <si>
    <t xml:space="preserve">Объем финансового обеспечения на выполнение муниципального задания на 2027 год </t>
  </si>
  <si>
    <t>26-27гг-без клас.рук-ва</t>
  </si>
  <si>
    <t xml:space="preserve">до 3  лет (b3) </t>
  </si>
  <si>
    <t>К3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</si>
  <si>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K2 Группы компенсирующей направленности (за исключением малокомплектных образовательных организаций) (4группы)</t>
  </si>
  <si>
    <t>K3 Группы комбинированной направленности (за исключением малокомплектных образовательных организаций), городской населенный пункт (3групп)</t>
  </si>
  <si>
    <t>K2 Группы компенсирующей направленности (за исключением малокомплектных образовательных организаций) (2группы)</t>
  </si>
  <si>
    <t>К10 Группы компенсирующей направленности, в которых воспитанники посещают бассейн (2руппы)</t>
  </si>
  <si>
    <t>К11 Группы комбинированной направленности, в которых воспитанники посещают бассейн (3групп)</t>
  </si>
  <si>
    <t>K1 Группы общеразвивающей направленности (за исключением малокомплектных образовательных организаций) (0группа)</t>
  </si>
  <si>
    <t>K2 Группы компенсирующей направленности (за исключением малокомплектных образовательных организаций) (5группы)</t>
  </si>
  <si>
    <t>до 3  лет (b3) t7/ДЦП</t>
  </si>
  <si>
    <t>от 3 до 8 лет (b3) t8/псих.</t>
  </si>
  <si>
    <t>K3 Группы комбинированной направленности (за исключением малокомплектных образовательных организаций), городской населенный пункт (4групп)</t>
  </si>
  <si>
    <t>К9 Группы общеразвив. направленности, в которых воспитанники посещают бассейн (0группа)</t>
  </si>
  <si>
    <t>К10 Группы компенсирующей направленности, в которых воспитанники посещают бассейн (5группы)</t>
  </si>
  <si>
    <t>разновозр, с налич. детей до 3 лет (b3) t7/ДЦП</t>
  </si>
  <si>
    <t>К11 Группы комбинированной направленности, в которых воспитанники посещают бассейн (4групп)</t>
  </si>
  <si>
    <t xml:space="preserve"> до 3 лет (b8)</t>
  </si>
  <si>
    <r>
      <t xml:space="preserve">Всего объем финасового обеспечения муниципального задания      </t>
    </r>
    <r>
      <rPr>
        <b/>
        <i/>
        <sz val="11"/>
        <rFont val="Times New Roman"/>
        <family val="1"/>
        <charset val="204"/>
      </rPr>
      <t>(Без классного руководства)</t>
    </r>
  </si>
  <si>
    <t>Базовый норматив затрат на единицу объема, 2026г</t>
  </si>
  <si>
    <t>Базовый норматив затрат на единицу объема, 2027г</t>
  </si>
  <si>
    <t>1\21</t>
  </si>
  <si>
    <t>5\89</t>
  </si>
  <si>
    <t>2\46</t>
  </si>
  <si>
    <t>2\15</t>
  </si>
  <si>
    <t>с 1 инвалидом</t>
  </si>
  <si>
    <r>
      <t xml:space="preserve">с 1 инвалидом и </t>
    </r>
    <r>
      <rPr>
        <sz val="11"/>
        <color theme="9" tint="-0.499984740745262"/>
        <rFont val="Times New Roman"/>
        <family val="1"/>
        <charset val="204"/>
      </rPr>
      <t>0</t>
    </r>
    <r>
      <rPr>
        <sz val="11"/>
        <rFont val="Times New Roman"/>
        <family val="1"/>
        <charset val="204"/>
      </rPr>
      <t xml:space="preserve"> опека</t>
    </r>
  </si>
  <si>
    <t>K1 Группы общеразвивающей направленности (за исключением малокомплектных образовательных организаций)</t>
  </si>
  <si>
    <t>K3 Группы комбинированной направленности (за исключением малокомплектных образовательных организаций), городской населенный пункт (2группы)</t>
  </si>
  <si>
    <t>K3 Группы комбинированной направленности (за исключением малокомплектных образовательных организаций)(3групп)</t>
  </si>
  <si>
    <t>K2 Группы компенсирующей направленности (за исключением малокомплектных образовательных организаций) (1группа)</t>
  </si>
  <si>
    <t>К3 Группы комбинированной направленности (за исключением малокомплектных образовательных организаций), городской населенный пункт (3группы)</t>
  </si>
  <si>
    <t>от 3 до 8 лет (b8) t8/речь</t>
  </si>
  <si>
    <t>разновозр, с налич. детей до 3 лет (b3) t1/речь</t>
  </si>
  <si>
    <t>К3 Группы комбинированной направленности (за исключением малокомплектных образовательных организаций) (6групп)</t>
  </si>
  <si>
    <t>K1 Группы общеразвивающей направленности (за исключением малокомплектных образовательных организаций) (1группа)</t>
  </si>
  <si>
    <t>на 01.01.2025 год</t>
  </si>
  <si>
    <t>2025год c 01.09.2025</t>
  </si>
  <si>
    <t>4\67</t>
  </si>
  <si>
    <t>4\52</t>
  </si>
  <si>
    <t>Техническая помощь инвалидам</t>
  </si>
  <si>
    <t>Численность на м/б, на 2025г</t>
  </si>
  <si>
    <t>Базовый норматив затрат на единицу объема, на 09.01.25г.</t>
  </si>
  <si>
    <t>Нормативные затраты на оказание муницп-й услуги, на 09.01.25г.</t>
  </si>
  <si>
    <t>Численность на м/б, на 2026г</t>
  </si>
  <si>
    <t>Базовый норматив затрат на единицу объема, на 09.01.26г.</t>
  </si>
  <si>
    <t>Нормативные затраты на оказание муницп-й услуги, на 09.01.26г.</t>
  </si>
  <si>
    <t>Численность на м/б, на 2027г</t>
  </si>
  <si>
    <t>Базовый норматив затрат на единицу объема, на 09.01.27г.</t>
  </si>
  <si>
    <t>Нормативные затраты на оказание муницп-й услуги, на 09.01.27г.</t>
  </si>
  <si>
    <t>2027г.</t>
  </si>
  <si>
    <t>2026г.</t>
  </si>
  <si>
    <t>Корректировка бюджета от 12.02.2025г</t>
  </si>
  <si>
    <t>решение ДГС №54-331-НПА от 12.02.25г.</t>
  </si>
  <si>
    <t>Базовый норматив затрат на единицу объема, на 12.02.25г.</t>
  </si>
  <si>
    <t>Нормативные затраты на оказание муницп-й услуги, на 12.02.25г.</t>
  </si>
  <si>
    <t>Базовый норматив затрат на единицу объема, на 12.02.2026г.</t>
  </si>
  <si>
    <t>Нормативные затраты на оказание муницп-й услуги, на 12.02.2026г.</t>
  </si>
  <si>
    <t>Базовый норматив затрат на единицу объема, на 12.02.2027г.</t>
  </si>
  <si>
    <t>Нормативные затраты на оказание муницп-й услуги, на 12.02.2027г.</t>
  </si>
  <si>
    <t>с 1 инвалидом и 1 сирота (по МЗ на 25-27гг)</t>
  </si>
  <si>
    <t>Базовый норматив затрат на единицу объема, на 26.03.25г.</t>
  </si>
  <si>
    <t>Нормативные затраты на оказание муницп-й услуги, на 26.03.25г.</t>
  </si>
  <si>
    <t>ПФ  МЗ - без изменений</t>
  </si>
  <si>
    <t>добавить к нормативу</t>
  </si>
  <si>
    <t>Корректировка бюджета от 26.03.2025г</t>
  </si>
  <si>
    <t>решение ДГС № 56-341-НПА от 26.03.25г.</t>
  </si>
  <si>
    <t>Корректировка бюджета от 28.05.2025г</t>
  </si>
  <si>
    <t>решение ДГС № 58-351-НПА от 28.05.25г.</t>
  </si>
  <si>
    <t>ПФ  МЗ - увелич.на</t>
  </si>
  <si>
    <t>Базовый норматив затрат на единицу объема, на 30.05.25г.,  по БРосп.</t>
  </si>
  <si>
    <t>Нормативные затраты на оказание муницп-й услуги, на 30.05.25г.,  по БРосп.</t>
  </si>
  <si>
    <t>Корректировка бюджета от 10.09.2025г</t>
  </si>
  <si>
    <t>решение ДГС № 62-363-НПА от 10.09.25г.</t>
  </si>
  <si>
    <t>Базовый норматив затрат на единицу объема, на 12.09.25г.,  по БРосп.</t>
  </si>
  <si>
    <t>Нормативные затраты на оказание муницп-й услуги, на 12.09.25г.,  по БРосп.</t>
  </si>
  <si>
    <t>дети инвалиды-5 по МЗ</t>
  </si>
  <si>
    <t>дети инвалиды-1 по МЗ</t>
  </si>
  <si>
    <t xml:space="preserve">с 5 инвалидами и 2 опека </t>
  </si>
  <si>
    <t>804200О.99.0.ББ52АЕ04000</t>
  </si>
  <si>
    <r>
      <t xml:space="preserve">Реализация </t>
    </r>
    <r>
      <rPr>
        <b/>
        <sz val="11"/>
        <rFont val="Times New Roman"/>
        <family val="1"/>
        <charset val="204"/>
      </rPr>
      <t>дополнительных</t>
    </r>
    <r>
      <rPr>
        <sz val="11"/>
        <rFont val="Times New Roman"/>
        <family val="1"/>
        <charset val="204"/>
      </rPr>
      <t xml:space="preserve"> общеразвивающих программ </t>
    </r>
  </si>
  <si>
    <t>с 0 инвалида и 1 опека</t>
  </si>
  <si>
    <r>
      <t xml:space="preserve">в т.ч. Краевой бюджет пед.персонал </t>
    </r>
    <r>
      <rPr>
        <sz val="11"/>
        <color rgb="FF0070C0"/>
        <rFont val="Times New Roman"/>
        <family val="1"/>
        <charset val="204"/>
      </rPr>
      <t>(краевой норматив на доп-е общераз-е программы)</t>
    </r>
  </si>
  <si>
    <r>
      <t>в т.ч. Краевой бюджет пед.персонал, руб.</t>
    </r>
    <r>
      <rPr>
        <sz val="11"/>
        <color rgb="FF0070C0"/>
        <rFont val="Times New Roman"/>
        <family val="1"/>
        <charset val="204"/>
      </rPr>
      <t xml:space="preserve"> (краевой бюджет на доп-е общераз-е программы)</t>
    </r>
  </si>
  <si>
    <t>дети инвалиды-1, по МЗ</t>
  </si>
  <si>
    <t>с  1 инвалидом</t>
  </si>
  <si>
    <t>854100О.99.0.ББ52БЭ28000</t>
  </si>
  <si>
    <t>инвалид-1, по МЗ</t>
  </si>
  <si>
    <t>K2 Группы компенсирующей направленности (за исключением малокомплектных образовательных организаций) (1группы)</t>
  </si>
  <si>
    <t>от 3 до 8 лет (b8) t8/аутиз.</t>
  </si>
  <si>
    <t>5\78</t>
  </si>
  <si>
    <t>1\20</t>
  </si>
  <si>
    <t>4\58</t>
  </si>
  <si>
    <t>2\47</t>
  </si>
  <si>
    <t>4\50</t>
  </si>
  <si>
    <t>6\98</t>
  </si>
  <si>
    <t>2\9</t>
  </si>
  <si>
    <t>2\10</t>
  </si>
  <si>
    <r>
      <t xml:space="preserve">итого по услуге </t>
    </r>
    <r>
      <rPr>
        <sz val="11"/>
        <color rgb="FF0070C0"/>
        <rFont val="Times New Roman"/>
        <family val="1"/>
        <charset val="204"/>
      </rPr>
      <t>(без детей из мед.учрежд-я)</t>
    </r>
    <r>
      <rPr>
        <b/>
        <sz val="11"/>
        <color rgb="FF000000"/>
        <rFont val="Times New Roman"/>
        <family val="1"/>
        <charset val="204"/>
      </rPr>
      <t>:</t>
    </r>
  </si>
  <si>
    <t xml:space="preserve"> c 01.09.2025 год</t>
  </si>
  <si>
    <t>от 3 до 8 лет (b8) t8/аутизм</t>
  </si>
  <si>
    <t>разновозр, с налич. детей от 3 лет до 8лет (b8) t7/ДЦП</t>
  </si>
  <si>
    <t>от 3 до 8 лет (b8) t11/аутизм</t>
  </si>
  <si>
    <t>806713,32- на 1 класс+ 2198,86на 1 человека</t>
  </si>
  <si>
    <t>1306992,83- на 1 класс+ 2750,57 на 1 человека</t>
  </si>
  <si>
    <t>1306992,83- на 1 класс+ 28238,40 на 1 человека</t>
  </si>
  <si>
    <t>1060440,91- на 1 класс+ 28238,40 на 1 человека</t>
  </si>
  <si>
    <t>1060440,91- на 1 класс+2750,57 на 1 человека</t>
  </si>
  <si>
    <t>1122596,99 на 1 класс+ 28587,53 на 1 человека</t>
  </si>
  <si>
    <t>1122596,99на 1 класс+2726,40 на 1 человека</t>
  </si>
  <si>
    <t>309063,22- на 1 класс</t>
  </si>
  <si>
    <t>Сред.Численность на м/б+ПФ, на 2025г</t>
  </si>
  <si>
    <t>Базовый норматив затрат на единицу объема, на 09.09.25г.</t>
  </si>
  <si>
    <r>
      <t xml:space="preserve">Нормативные затраты на оказание муницп-й услуги, </t>
    </r>
    <r>
      <rPr>
        <b/>
        <sz val="8"/>
        <color rgb="FF0070C0"/>
        <rFont val="Times New Roman"/>
        <family val="1"/>
        <charset val="204"/>
      </rPr>
      <t>на 24.10.25г.</t>
    </r>
  </si>
  <si>
    <t>Базовый норматив затрат на единицу объема, на 09.09.26г.</t>
  </si>
  <si>
    <t>Базовый норматив затрат на единицу объема, на 09.09.27г.</t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</si>
  <si>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24.10.26г.</t>
    </r>
  </si>
  <si>
    <r>
      <t xml:space="preserve">Нормативные затраты на оказание муницп-й услуги, на </t>
    </r>
    <r>
      <rPr>
        <b/>
        <sz val="8"/>
        <color rgb="FF0070C0"/>
        <rFont val="Times New Roman"/>
        <family val="1"/>
        <charset val="204"/>
      </rPr>
      <t>24.10.27г.</t>
    </r>
  </si>
  <si>
    <t>Сред.Численность на м/б+пф, на 2026г</t>
  </si>
  <si>
    <t>Сред.Численность на м/б+ПФ, на 2027г</t>
  </si>
  <si>
    <t>Сред.Значение объема муниципальной услуги (работы)</t>
  </si>
  <si>
    <r>
      <t xml:space="preserve">Реализация </t>
    </r>
    <r>
      <rPr>
        <b/>
        <sz val="10"/>
        <rFont val="Times New Roman"/>
        <family val="1"/>
        <charset val="204"/>
      </rPr>
      <t>дополнительных</t>
    </r>
    <r>
      <rPr>
        <sz val="10"/>
        <rFont val="Times New Roman"/>
        <family val="1"/>
        <charset val="204"/>
      </rPr>
      <t xml:space="preserve"> общеразвивающих программ</t>
    </r>
  </si>
  <si>
    <t>Реализация дополнительных общеразвивающих программ  (0703)</t>
  </si>
  <si>
    <t>Корректировка бюджета от 26.11.2025г</t>
  </si>
  <si>
    <t>решение ГС № 3-6-НПА от 26.11.25г.</t>
  </si>
  <si>
    <t>Базовый норматив затрат на единицу объема, на 01.12.25г.,  по БРосп.</t>
  </si>
  <si>
    <t>Нормативные затраты на оказание муницп-й услуги, на 01.12.25г.,  по БРосп.</t>
  </si>
  <si>
    <t>ПФ  МЗ + СЗ - увелич.з/п на</t>
  </si>
  <si>
    <t>сумма без Работы 1</t>
  </si>
  <si>
    <t>дети инв-ды-0 по МЗ, опека-1</t>
  </si>
  <si>
    <t>Корректировка бюджета от 17.12.2025г</t>
  </si>
  <si>
    <t>решение ГС №  -  -НПА от 17.12.25г.</t>
  </si>
  <si>
    <t>Базовый норматив затрат на единицу объема, на 18.12.25г.,  по БРосп.</t>
  </si>
  <si>
    <t>Нормативные затраты на оказание муницп-й услуги, на 18.12.25г.,  по БРосп.</t>
  </si>
  <si>
    <t>добавить</t>
  </si>
  <si>
    <t>2026 год по МЗ</t>
  </si>
  <si>
    <t>2028 год</t>
  </si>
  <si>
    <t>Всего на 2026 год:</t>
  </si>
  <si>
    <t>2028 год, всего</t>
  </si>
  <si>
    <t>2028г</t>
  </si>
  <si>
    <t>2027-2028гг</t>
  </si>
  <si>
    <t>2027- 2028гг</t>
  </si>
  <si>
    <t>Нормативные затраты на оказание муниципальных услуг (работ) на 2026-2028 гг.</t>
  </si>
  <si>
    <t>Расчет финансового обеспечения муниципальных учреждений на выполнение муниципального задания  на 2026-2028 год</t>
  </si>
  <si>
    <t>Нормативные затраты на оказание муниципальной услуги (работы) на 2026г</t>
  </si>
  <si>
    <t xml:space="preserve">Объем финансового обеспечения на выполнение муниципального задания на 2028 год </t>
  </si>
  <si>
    <r>
      <t xml:space="preserve">2026 год </t>
    </r>
    <r>
      <rPr>
        <sz val="11"/>
        <color rgb="FF0070C0"/>
        <rFont val="Times New Roman"/>
        <family val="1"/>
        <charset val="204"/>
      </rPr>
      <t xml:space="preserve">числен-ть по МЗ </t>
    </r>
  </si>
  <si>
    <t>Расчет финансового обеспечения муниципальных учреждений на выполнение муниципального задания  на 2026-2028 годы</t>
  </si>
  <si>
    <t xml:space="preserve">Коэффициенты выравнивания на 2026 год  </t>
  </si>
  <si>
    <t>Объем финансового обеспечения на выполнение муниципального задания на 2028 год</t>
  </si>
  <si>
    <t xml:space="preserve"> 2026 год</t>
  </si>
  <si>
    <t>Базовый норматив затрат на единицу объема, 2028г</t>
  </si>
  <si>
    <t>Расчет финансового обеспечения муниципальных учреждений на выполнение муниципального задания на 2026-2028 годы</t>
  </si>
  <si>
    <r>
      <t>с  1 инвалидом,</t>
    </r>
    <r>
      <rPr>
        <sz val="11"/>
        <color rgb="FFC00000"/>
        <rFont val="Times New Roman"/>
        <family val="1"/>
        <charset val="204"/>
      </rPr>
      <t xml:space="preserve"> 0 опека</t>
    </r>
  </si>
  <si>
    <t>дети инвалиды-0, по МЗ</t>
  </si>
  <si>
    <t>с 8 инвалидами и 3 сирот (по МЗ на 26-28гг)</t>
  </si>
  <si>
    <t>численность из НАВИГАТОРА, предоставляет Панфилова А.А.</t>
  </si>
  <si>
    <r>
      <t xml:space="preserve">854025,01- на 1 класс+ </t>
    </r>
    <r>
      <rPr>
        <sz val="11"/>
        <color rgb="FF0070C0"/>
        <rFont val="Times New Roman"/>
        <family val="1"/>
        <charset val="204"/>
      </rPr>
      <t>2198,86</t>
    </r>
    <r>
      <rPr>
        <sz val="11"/>
        <color indexed="8"/>
        <rFont val="Times New Roman"/>
        <family val="1"/>
        <charset val="204"/>
      </rPr>
      <t>- на 1 человека</t>
    </r>
  </si>
  <si>
    <t>дети инвалиды-2, по МЗ</t>
  </si>
  <si>
    <t>присмотр и уход за счет м/б</t>
  </si>
  <si>
    <t>реализ.основн.общеобраз.программ</t>
  </si>
  <si>
    <t>субсидия</t>
  </si>
  <si>
    <t>Реализация дополнительных общеобразовательных общеразвивающих программ,   U/H</t>
  </si>
  <si>
    <t>4\64</t>
  </si>
  <si>
    <t>5\85</t>
  </si>
  <si>
    <r>
      <rPr>
        <b/>
        <sz val="11"/>
        <color rgb="FF0070C0"/>
        <rFont val="Times New Roman"/>
        <family val="1"/>
        <charset val="204"/>
      </rPr>
      <t>47672,43</t>
    </r>
    <r>
      <rPr>
        <sz val="11"/>
        <rFont val="Times New Roman"/>
        <family val="1"/>
        <charset val="204"/>
      </rPr>
      <t xml:space="preserve"> на 1 человека</t>
    </r>
  </si>
  <si>
    <r>
      <rPr>
        <b/>
        <sz val="11"/>
        <color rgb="FF0070C0"/>
        <rFont val="Times New Roman"/>
        <family val="1"/>
        <charset val="204"/>
      </rPr>
      <t>47672,43</t>
    </r>
    <r>
      <rPr>
        <sz val="11"/>
        <rFont val="Times New Roman"/>
        <family val="1"/>
        <charset val="204"/>
      </rPr>
      <t>- на 1 человека</t>
    </r>
  </si>
  <si>
    <t>5\68</t>
  </si>
  <si>
    <t>5\69</t>
  </si>
  <si>
    <t>4\47</t>
  </si>
  <si>
    <t>4\48</t>
  </si>
  <si>
    <r>
      <t xml:space="preserve">дети из </t>
    </r>
    <r>
      <rPr>
        <b/>
        <sz val="10"/>
        <color rgb="FF0070C0"/>
        <rFont val="Times New Roman"/>
        <family val="1"/>
        <charset val="204"/>
      </rPr>
      <t>мед.учреждения</t>
    </r>
    <r>
      <rPr>
        <sz val="10"/>
        <color rgb="FF0070C0"/>
        <rFont val="Times New Roman"/>
        <family val="1"/>
        <charset val="204"/>
      </rPr>
      <t xml:space="preserve"> в общую численность НЕ ВХОДЯТ</t>
    </r>
  </si>
  <si>
    <t>6\97</t>
  </si>
  <si>
    <t>2\13</t>
  </si>
  <si>
    <t>2\12</t>
  </si>
  <si>
    <t>к Приказу от 15.01.2026г. № 4</t>
  </si>
  <si>
    <t xml:space="preserve">Приложение № 4 к приказу от 15.01.2026г   № 4 </t>
  </si>
  <si>
    <t>к Приказу от  15.01.2026 г. № 4</t>
  </si>
  <si>
    <t>от   15.01.2026г  № 4</t>
  </si>
  <si>
    <t>к Приказу от 15.01.2026 г. № 4</t>
  </si>
  <si>
    <t>от 15.01.2026г  №  4</t>
  </si>
  <si>
    <t>должно быть как в приказе по ПФ-шаг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</si>
</sst>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"/>
    <numFmt numFmtId="165" formatCode="0.000000"/>
    <numFmt numFmtId="166" formatCode="#,##0.000000000"/>
    <numFmt numFmtId="167" formatCode="#,##0.0000"/>
    <numFmt numFmtId="168" formatCode="#,##0.00000"/>
    <numFmt numFmtId="169" formatCode="#,##0.000"/>
    <numFmt numFmtId="170" formatCode="#,##0.0000000"/>
    <numFmt numFmtId="171" formatCode="0.0000000000"/>
    <numFmt numFmtId="172" formatCode="0.000000000"/>
    <numFmt numFmtId="173" formatCode="0.0000"/>
    <numFmt numFmtId="174" formatCode="#,##0.000000"/>
  </numFmts>
  <fonts count="71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name val="Arial"/>
      <family val="2"/>
      <charset val="204"/>
    </font>
    <font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5"/>
      <name val="Times New Roman"/>
      <family val="1"/>
      <charset val="204"/>
    </font>
    <font>
      <sz val="7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9" tint="-0.499984740745262"/>
      <name val="Times New Roman"/>
      <family val="1"/>
      <charset val="204"/>
    </font>
    <font>
      <sz val="8"/>
      <color theme="9" tint="-0.499984740745262"/>
      <name val="Times New Roman"/>
      <family val="1"/>
      <charset val="204"/>
    </font>
    <font>
      <b/>
      <sz val="8"/>
      <color theme="7" tint="-0.249977111117893"/>
      <name val="Calibri"/>
      <family val="2"/>
      <charset val="204"/>
      <scheme val="minor"/>
    </font>
    <font>
      <b/>
      <sz val="8"/>
      <color theme="9" tint="-0.499984740745262"/>
      <name val="Calibri"/>
      <family val="2"/>
      <charset val="204"/>
      <scheme val="minor"/>
    </font>
    <font>
      <b/>
      <sz val="8"/>
      <color rgb="FF0070C0"/>
      <name val="Calibri"/>
      <family val="2"/>
      <charset val="204"/>
      <scheme val="minor"/>
    </font>
    <font>
      <sz val="9"/>
      <color theme="7" tint="-0.249977111117893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8"/>
      <color theme="7" tint="-0.249977111117893"/>
      <name val="Calibri"/>
      <family val="2"/>
      <charset val="204"/>
      <scheme val="minor"/>
    </font>
    <font>
      <sz val="8"/>
      <color theme="9" tint="-0.499984740745262"/>
      <name val="Calibri"/>
      <family val="2"/>
      <charset val="204"/>
      <scheme val="minor"/>
    </font>
    <font>
      <sz val="8"/>
      <color rgb="FF0070C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7" tint="-0.249977111117893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9" tint="-0.499984740745262"/>
      <name val="Times New Roman"/>
      <family val="1"/>
      <charset val="204"/>
    </font>
    <font>
      <i/>
      <sz val="6"/>
      <color rgb="FF0070C0"/>
      <name val="Times New Roman"/>
      <family val="1"/>
      <charset val="204"/>
    </font>
    <font>
      <sz val="7"/>
      <color rgb="FF0070C0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8"/>
      <color theme="7" tint="-0.249977111117893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1"/>
      <color theme="9" tint="-0.499984740745262"/>
      <name val="Times New Roman"/>
      <family val="1"/>
      <charset val="204"/>
    </font>
    <font>
      <sz val="11"/>
      <color theme="9" tint="-0.24997711111789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25" fillId="0" borderId="0"/>
    <xf numFmtId="0" fontId="65" fillId="23" borderId="0" applyNumberFormat="0" applyBorder="0" applyAlignment="0" applyProtection="0"/>
  </cellStyleXfs>
  <cellXfs count="948">
    <xf numFmtId="0" fontId="0" fillId="0" borderId="0" xfId="0"/>
    <xf numFmtId="0" fontId="2" fillId="0" borderId="0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 readingOrder="1"/>
    </xf>
    <xf numFmtId="3" fontId="4" fillId="3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4" fontId="2" fillId="0" borderId="0" xfId="0" applyNumberFormat="1" applyFont="1" applyFill="1" applyBorder="1"/>
    <xf numFmtId="4" fontId="7" fillId="3" borderId="2" xfId="0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2" fillId="0" borderId="0" xfId="0" applyNumberFormat="1" applyFont="1" applyFill="1" applyBorder="1"/>
    <xf numFmtId="4" fontId="2" fillId="0" borderId="2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/>
    <xf numFmtId="165" fontId="2" fillId="0" borderId="0" xfId="0" applyNumberFormat="1" applyFont="1" applyFill="1" applyBorder="1"/>
    <xf numFmtId="0" fontId="2" fillId="0" borderId="6" xfId="0" applyFont="1" applyFill="1" applyBorder="1"/>
    <xf numFmtId="2" fontId="2" fillId="3" borderId="0" xfId="0" applyNumberFormat="1" applyFont="1" applyFill="1" applyBorder="1"/>
    <xf numFmtId="4" fontId="2" fillId="3" borderId="0" xfId="0" applyNumberFormat="1" applyFont="1" applyFill="1" applyBorder="1"/>
    <xf numFmtId="4" fontId="3" fillId="0" borderId="0" xfId="0" applyNumberFormat="1" applyFont="1" applyFill="1" applyBorder="1"/>
    <xf numFmtId="1" fontId="2" fillId="0" borderId="0" xfId="0" applyNumberFormat="1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4" fontId="2" fillId="0" borderId="7" xfId="0" applyNumberFormat="1" applyFont="1" applyFill="1" applyBorder="1"/>
    <xf numFmtId="3" fontId="12" fillId="0" borderId="2" xfId="0" applyNumberFormat="1" applyFont="1" applyFill="1" applyBorder="1"/>
    <xf numFmtId="4" fontId="2" fillId="3" borderId="2" xfId="0" applyNumberFormat="1" applyFont="1" applyFill="1" applyBorder="1"/>
    <xf numFmtId="4" fontId="2" fillId="0" borderId="2" xfId="0" applyNumberFormat="1" applyFont="1" applyFill="1" applyBorder="1"/>
    <xf numFmtId="0" fontId="9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0" fontId="7" fillId="0" borderId="0" xfId="0" applyFont="1"/>
    <xf numFmtId="0" fontId="7" fillId="0" borderId="0" xfId="0" applyFont="1" applyFill="1"/>
    <xf numFmtId="0" fontId="7" fillId="0" borderId="0" xfId="0" applyFont="1" applyAlignment="1">
      <alignment wrapText="1"/>
    </xf>
    <xf numFmtId="2" fontId="14" fillId="0" borderId="0" xfId="0" applyNumberFormat="1" applyFont="1" applyAlignment="1">
      <alignment wrapText="1"/>
    </xf>
    <xf numFmtId="0" fontId="9" fillId="0" borderId="0" xfId="0" applyFont="1"/>
    <xf numFmtId="0" fontId="2" fillId="0" borderId="0" xfId="0" applyFont="1"/>
    <xf numFmtId="4" fontId="2" fillId="0" borderId="0" xfId="0" applyNumberFormat="1" applyFont="1"/>
    <xf numFmtId="0" fontId="15" fillId="0" borderId="6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  <xf numFmtId="0" fontId="17" fillId="0" borderId="5" xfId="2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 readingOrder="1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0" borderId="2" xfId="2" applyNumberFormat="1" applyFont="1" applyFill="1" applyBorder="1" applyAlignment="1">
      <alignment horizontal="center" vertical="center" wrapText="1" readingOrder="1"/>
    </xf>
    <xf numFmtId="4" fontId="2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4" fontId="7" fillId="3" borderId="2" xfId="0" applyNumberFormat="1" applyFont="1" applyFill="1" applyBorder="1" applyAlignment="1">
      <alignment horizontal="center" vertical="center" wrapText="1" readingOrder="1"/>
    </xf>
    <xf numFmtId="4" fontId="3" fillId="0" borderId="2" xfId="0" applyNumberFormat="1" applyFont="1" applyFill="1" applyBorder="1" applyAlignment="1">
      <alignment horizontal="center" vertical="center" wrapText="1" readingOrder="1"/>
    </xf>
    <xf numFmtId="4" fontId="13" fillId="0" borderId="0" xfId="0" applyNumberFormat="1" applyFont="1" applyAlignment="1">
      <alignment vertical="center"/>
    </xf>
    <xf numFmtId="0" fontId="4" fillId="3" borderId="2" xfId="0" applyFont="1" applyFill="1" applyBorder="1" applyAlignment="1">
      <alignment horizontal="left" vertical="center" wrapText="1" readingOrder="1"/>
    </xf>
    <xf numFmtId="4" fontId="3" fillId="3" borderId="2" xfId="0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/>
    <xf numFmtId="0" fontId="5" fillId="3" borderId="2" xfId="0" applyFont="1" applyFill="1" applyBorder="1" applyAlignment="1">
      <alignment horizontal="left" vertical="center" wrapText="1" readingOrder="1"/>
    </xf>
    <xf numFmtId="0" fontId="22" fillId="0" borderId="0" xfId="0" applyFont="1"/>
    <xf numFmtId="4" fontId="2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/>
    <xf numFmtId="4" fontId="23" fillId="0" borderId="0" xfId="0" applyNumberFormat="1" applyFont="1" applyFill="1" applyBorder="1"/>
    <xf numFmtId="0" fontId="24" fillId="0" borderId="0" xfId="0" applyFont="1"/>
    <xf numFmtId="0" fontId="2" fillId="0" borderId="0" xfId="3" applyFont="1" applyFill="1"/>
    <xf numFmtId="0" fontId="2" fillId="3" borderId="0" xfId="3" applyFont="1" applyFill="1"/>
    <xf numFmtId="0" fontId="2" fillId="0" borderId="0" xfId="3" applyFont="1" applyFill="1" applyBorder="1" applyAlignment="1">
      <alignment vertical="top"/>
    </xf>
    <xf numFmtId="0" fontId="26" fillId="0" borderId="0" xfId="3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left" vertical="top"/>
    </xf>
    <xf numFmtId="0" fontId="2" fillId="3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" fontId="2" fillId="0" borderId="0" xfId="3" applyNumberFormat="1" applyFont="1" applyFill="1"/>
    <xf numFmtId="0" fontId="2" fillId="0" borderId="2" xfId="3" applyFont="1" applyFill="1" applyBorder="1" applyAlignment="1">
      <alignment horizontal="center" wrapText="1"/>
    </xf>
    <xf numFmtId="0" fontId="27" fillId="3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4" fontId="2" fillId="3" borderId="2" xfId="3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3" fontId="19" fillId="3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3" borderId="2" xfId="3" applyNumberFormat="1" applyFont="1" applyFill="1" applyBorder="1" applyAlignment="1">
      <alignment horizontal="center" vertical="center"/>
    </xf>
    <xf numFmtId="165" fontId="2" fillId="0" borderId="0" xfId="3" applyNumberFormat="1" applyFont="1" applyFill="1"/>
    <xf numFmtId="3" fontId="2" fillId="0" borderId="2" xfId="3" applyNumberFormat="1" applyFont="1" applyFill="1" applyBorder="1" applyAlignment="1">
      <alignment horizontal="center" vertical="center"/>
    </xf>
    <xf numFmtId="4" fontId="28" fillId="0" borderId="2" xfId="3" applyNumberFormat="1" applyFont="1" applyFill="1" applyBorder="1" applyAlignment="1">
      <alignment horizontal="center" vertical="center"/>
    </xf>
    <xf numFmtId="4" fontId="28" fillId="3" borderId="2" xfId="3" applyNumberFormat="1" applyFont="1" applyFill="1" applyBorder="1" applyAlignment="1">
      <alignment horizontal="center" vertical="center"/>
    </xf>
    <xf numFmtId="4" fontId="29" fillId="0" borderId="2" xfId="3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2" fillId="3" borderId="2" xfId="3" applyNumberFormat="1" applyFont="1" applyFill="1" applyBorder="1" applyAlignment="1">
      <alignment horizontal="center" vertical="center"/>
    </xf>
    <xf numFmtId="0" fontId="2" fillId="6" borderId="0" xfId="3" applyFont="1" applyFill="1"/>
    <xf numFmtId="0" fontId="3" fillId="3" borderId="2" xfId="3" applyFont="1" applyFill="1" applyBorder="1" applyAlignment="1">
      <alignment horizontal="center" vertical="center"/>
    </xf>
    <xf numFmtId="3" fontId="3" fillId="3" borderId="2" xfId="3" applyNumberFormat="1" applyFont="1" applyFill="1" applyBorder="1" applyAlignment="1">
      <alignment horizontal="center" vertical="center"/>
    </xf>
    <xf numFmtId="3" fontId="3" fillId="0" borderId="2" xfId="3" applyNumberFormat="1" applyFont="1" applyFill="1" applyBorder="1" applyAlignment="1">
      <alignment horizontal="center" vertical="center"/>
    </xf>
    <xf numFmtId="3" fontId="20" fillId="0" borderId="2" xfId="3" applyNumberFormat="1" applyFont="1" applyFill="1" applyBorder="1" applyAlignment="1">
      <alignment horizontal="center" vertical="center"/>
    </xf>
    <xf numFmtId="4" fontId="2" fillId="7" borderId="0" xfId="3" applyNumberFormat="1" applyFont="1" applyFill="1"/>
    <xf numFmtId="3" fontId="30" fillId="3" borderId="2" xfId="3" applyNumberFormat="1" applyFont="1" applyFill="1" applyBorder="1" applyAlignment="1">
      <alignment horizontal="center" vertical="center"/>
    </xf>
    <xf numFmtId="164" fontId="2" fillId="3" borderId="2" xfId="3" applyNumberFormat="1" applyFont="1" applyFill="1" applyBorder="1" applyAlignment="1">
      <alignment horizontal="center" vertical="center"/>
    </xf>
    <xf numFmtId="0" fontId="3" fillId="0" borderId="0" xfId="3" applyFont="1" applyFill="1"/>
    <xf numFmtId="4" fontId="3" fillId="0" borderId="0" xfId="3" applyNumberFormat="1" applyFont="1" applyFill="1"/>
    <xf numFmtId="0" fontId="2" fillId="0" borderId="0" xfId="3" applyFont="1" applyFill="1" applyBorder="1"/>
    <xf numFmtId="0" fontId="2" fillId="3" borderId="0" xfId="3" applyFont="1" applyFill="1" applyBorder="1"/>
    <xf numFmtId="4" fontId="2" fillId="3" borderId="0" xfId="3" applyNumberFormat="1" applyFont="1" applyFill="1" applyBorder="1"/>
    <xf numFmtId="4" fontId="31" fillId="0" borderId="0" xfId="3" applyNumberFormat="1" applyFont="1" applyFill="1" applyBorder="1"/>
    <xf numFmtId="4" fontId="2" fillId="0" borderId="0" xfId="3" applyNumberFormat="1" applyFont="1" applyFill="1" applyBorder="1"/>
    <xf numFmtId="4" fontId="31" fillId="3" borderId="0" xfId="3" applyNumberFormat="1" applyFont="1" applyFill="1" applyBorder="1"/>
    <xf numFmtId="3" fontId="18" fillId="3" borderId="0" xfId="3" applyNumberFormat="1" applyFont="1" applyFill="1" applyBorder="1" applyAlignment="1">
      <alignment horizontal="right"/>
    </xf>
    <xf numFmtId="4" fontId="2" fillId="3" borderId="0" xfId="3" applyNumberFormat="1" applyFont="1" applyFill="1"/>
    <xf numFmtId="0" fontId="7" fillId="3" borderId="0" xfId="0" applyFont="1" applyFill="1"/>
    <xf numFmtId="0" fontId="7" fillId="0" borderId="0" xfId="0" applyFont="1" applyBorder="1"/>
    <xf numFmtId="0" fontId="7" fillId="3" borderId="0" xfId="0" applyFont="1" applyFill="1" applyBorder="1"/>
    <xf numFmtId="0" fontId="7" fillId="0" borderId="0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4" fontId="7" fillId="0" borderId="1" xfId="0" applyNumberFormat="1" applyFont="1" applyBorder="1"/>
    <xf numFmtId="0" fontId="7" fillId="0" borderId="1" xfId="0" applyFont="1" applyFill="1" applyBorder="1"/>
    <xf numFmtId="0" fontId="2" fillId="0" borderId="9" xfId="0" applyFont="1" applyBorder="1" applyAlignment="1">
      <alignment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/>
    <xf numFmtId="0" fontId="7" fillId="0" borderId="0" xfId="0" applyFont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35" fillId="3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3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7" fillId="3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horizontal="center" vertical="center" wrapText="1"/>
    </xf>
    <xf numFmtId="0" fontId="39" fillId="5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2" fillId="12" borderId="0" xfId="0" applyFont="1" applyFill="1" applyBorder="1"/>
    <xf numFmtId="4" fontId="41" fillId="0" borderId="0" xfId="0" applyNumberFormat="1" applyFont="1" applyFill="1" applyBorder="1"/>
    <xf numFmtId="4" fontId="41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7" fontId="41" fillId="0" borderId="0" xfId="0" applyNumberFormat="1" applyFont="1" applyFill="1" applyBorder="1" applyAlignment="1">
      <alignment horizontal="center" wrapText="1"/>
    </xf>
    <xf numFmtId="0" fontId="11" fillId="11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4" fontId="42" fillId="0" borderId="0" xfId="0" applyNumberFormat="1" applyFont="1" applyFill="1" applyBorder="1"/>
    <xf numFmtId="168" fontId="42" fillId="0" borderId="0" xfId="0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11" borderId="0" xfId="0" applyFont="1" applyFill="1" applyBorder="1" applyAlignment="1">
      <alignment vertical="center" wrapText="1"/>
    </xf>
    <xf numFmtId="0" fontId="39" fillId="9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39" fillId="5" borderId="0" xfId="0" applyFont="1" applyFill="1" applyBorder="1" applyAlignment="1">
      <alignment vertical="center" wrapText="1"/>
    </xf>
    <xf numFmtId="0" fontId="2" fillId="11" borderId="0" xfId="0" applyFont="1" applyFill="1" applyBorder="1"/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3" fontId="12" fillId="3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3" fontId="11" fillId="11" borderId="2" xfId="0" applyNumberFormat="1" applyFont="1" applyFill="1" applyBorder="1" applyAlignment="1">
      <alignment horizontal="center" vertical="center" wrapText="1"/>
    </xf>
    <xf numFmtId="4" fontId="37" fillId="12" borderId="2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/>
    </xf>
    <xf numFmtId="4" fontId="42" fillId="0" borderId="2" xfId="0" applyNumberFormat="1" applyFont="1" applyFill="1" applyBorder="1" applyAlignment="1">
      <alignment horizontal="center" vertical="center"/>
    </xf>
    <xf numFmtId="4" fontId="37" fillId="9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horizontal="center" vertical="center" wrapText="1"/>
    </xf>
    <xf numFmtId="4" fontId="42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37" fillId="5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3" fontId="11" fillId="11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39" fillId="9" borderId="0" xfId="0" applyNumberFormat="1" applyFont="1" applyFill="1" applyBorder="1" applyAlignment="1">
      <alignment horizontal="center" vertical="center" wrapText="1"/>
    </xf>
    <xf numFmtId="167" fontId="39" fillId="5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center"/>
    </xf>
    <xf numFmtId="0" fontId="43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171" fontId="44" fillId="0" borderId="2" xfId="0" applyNumberFormat="1" applyFont="1" applyFill="1" applyBorder="1" applyAlignment="1">
      <alignment vertical="center"/>
    </xf>
    <xf numFmtId="0" fontId="45" fillId="0" borderId="2" xfId="0" applyFont="1" applyFill="1" applyBorder="1" applyAlignment="1">
      <alignment horizontal="center" vertical="center"/>
    </xf>
    <xf numFmtId="172" fontId="45" fillId="0" borderId="2" xfId="0" applyNumberFormat="1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vertical="center" wrapText="1"/>
    </xf>
    <xf numFmtId="0" fontId="37" fillId="0" borderId="2" xfId="0" applyFont="1" applyFill="1" applyBorder="1" applyAlignment="1">
      <alignment vertical="center" wrapText="1"/>
    </xf>
    <xf numFmtId="3" fontId="37" fillId="0" borderId="2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4" fontId="39" fillId="7" borderId="2" xfId="0" applyNumberFormat="1" applyFont="1" applyFill="1" applyBorder="1" applyAlignment="1">
      <alignment horizontal="center" vertical="center" wrapText="1"/>
    </xf>
    <xf numFmtId="4" fontId="39" fillId="4" borderId="2" xfId="0" applyNumberFormat="1" applyFont="1" applyFill="1" applyBorder="1" applyAlignment="1">
      <alignment horizontal="center" vertical="center" wrapText="1"/>
    </xf>
    <xf numFmtId="4" fontId="34" fillId="4" borderId="7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4" fontId="39" fillId="7" borderId="0" xfId="0" applyNumberFormat="1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3" fontId="39" fillId="11" borderId="0" xfId="0" applyNumberFormat="1" applyFont="1" applyFill="1" applyBorder="1" applyAlignment="1">
      <alignment horizontal="center" vertical="center"/>
    </xf>
    <xf numFmtId="4" fontId="39" fillId="7" borderId="0" xfId="0" applyNumberFormat="1" applyFont="1" applyFill="1" applyBorder="1" applyAlignment="1">
      <alignment vertical="center"/>
    </xf>
    <xf numFmtId="4" fontId="39" fillId="7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Fill="1" applyBorder="1" applyAlignment="1">
      <alignment vertical="center"/>
    </xf>
    <xf numFmtId="169" fontId="39" fillId="7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 wrapText="1"/>
    </xf>
    <xf numFmtId="4" fontId="48" fillId="0" borderId="3" xfId="0" applyNumberFormat="1" applyFont="1" applyFill="1" applyBorder="1" applyAlignment="1">
      <alignment vertical="center"/>
    </xf>
    <xf numFmtId="4" fontId="49" fillId="0" borderId="3" xfId="0" applyNumberFormat="1" applyFont="1" applyFill="1" applyBorder="1" applyAlignment="1">
      <alignment horizontal="center" vertical="center"/>
    </xf>
    <xf numFmtId="173" fontId="49" fillId="0" borderId="3" xfId="0" applyNumberFormat="1" applyFont="1" applyFill="1" applyBorder="1" applyAlignment="1">
      <alignment horizontal="center" vertical="center"/>
    </xf>
    <xf numFmtId="4" fontId="45" fillId="0" borderId="3" xfId="0" applyNumberFormat="1" applyFont="1" applyFill="1" applyBorder="1" applyAlignment="1">
      <alignment horizontal="center" vertical="center"/>
    </xf>
    <xf numFmtId="173" fontId="50" fillId="0" borderId="3" xfId="0" applyNumberFormat="1" applyFont="1" applyFill="1" applyBorder="1" applyAlignment="1">
      <alignment horizontal="center" vertical="center"/>
    </xf>
    <xf numFmtId="4" fontId="5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4" fontId="39" fillId="10" borderId="0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9" fillId="0" borderId="2" xfId="0" applyNumberFormat="1" applyFont="1" applyFill="1" applyBorder="1" applyAlignment="1">
      <alignment vertical="center" wrapText="1"/>
    </xf>
    <xf numFmtId="4" fontId="39" fillId="7" borderId="2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 applyAlignment="1">
      <alignment vertical="center" wrapText="1"/>
    </xf>
    <xf numFmtId="4" fontId="11" fillId="0" borderId="2" xfId="0" applyNumberFormat="1" applyFont="1" applyFill="1" applyBorder="1" applyAlignment="1">
      <alignment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7" fillId="3" borderId="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4" fontId="39" fillId="3" borderId="2" xfId="0" applyNumberFormat="1" applyFont="1" applyFill="1" applyBorder="1" applyAlignment="1">
      <alignment vertical="center" wrapText="1"/>
    </xf>
    <xf numFmtId="4" fontId="39" fillId="16" borderId="2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vertical="center" wrapText="1"/>
    </xf>
    <xf numFmtId="4" fontId="39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center"/>
    </xf>
    <xf numFmtId="0" fontId="54" fillId="0" borderId="2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4" fontId="54" fillId="0" borderId="5" xfId="0" applyNumberFormat="1" applyFont="1" applyFill="1" applyBorder="1" applyAlignment="1">
      <alignment horizontal="center" vertical="center" wrapText="1"/>
    </xf>
    <xf numFmtId="4" fontId="54" fillId="0" borderId="0" xfId="0" applyNumberFormat="1" applyFont="1" applyFill="1" applyBorder="1" applyAlignment="1">
      <alignment horizontal="left" vertical="center" wrapText="1"/>
    </xf>
    <xf numFmtId="4" fontId="54" fillId="0" borderId="0" xfId="0" applyNumberFormat="1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vertical="center" wrapText="1"/>
    </xf>
    <xf numFmtId="4" fontId="39" fillId="15" borderId="0" xfId="0" applyNumberFormat="1" applyFont="1" applyFill="1" applyBorder="1" applyAlignment="1">
      <alignment horizontal="center"/>
    </xf>
    <xf numFmtId="4" fontId="11" fillId="7" borderId="0" xfId="0" applyNumberFormat="1" applyFont="1" applyFill="1" applyBorder="1" applyAlignment="1">
      <alignment horizontal="center" vertical="center"/>
    </xf>
    <xf numFmtId="4" fontId="40" fillId="10" borderId="0" xfId="0" applyNumberFormat="1" applyFont="1" applyFill="1" applyBorder="1" applyAlignment="1">
      <alignment horizontal="center" vertical="center"/>
    </xf>
    <xf numFmtId="167" fontId="11" fillId="17" borderId="0" xfId="0" applyNumberFormat="1" applyFont="1" applyFill="1" applyBorder="1"/>
    <xf numFmtId="167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4" fontId="11" fillId="0" borderId="0" xfId="0" applyNumberFormat="1" applyFont="1" applyFill="1" applyBorder="1" applyAlignment="1">
      <alignment horizontal="center" vertical="top"/>
    </xf>
    <xf numFmtId="0" fontId="11" fillId="7" borderId="0" xfId="0" applyFont="1" applyFill="1" applyBorder="1" applyAlignment="1">
      <alignment horizontal="center" vertical="center" wrapText="1"/>
    </xf>
    <xf numFmtId="4" fontId="40" fillId="10" borderId="0" xfId="0" applyNumberFormat="1" applyFont="1" applyFill="1" applyBorder="1" applyAlignment="1">
      <alignment horizontal="center"/>
    </xf>
    <xf numFmtId="167" fontId="11" fillId="0" borderId="0" xfId="0" applyNumberFormat="1" applyFont="1" applyFill="1" applyBorder="1" applyAlignment="1">
      <alignment vertical="center"/>
    </xf>
    <xf numFmtId="167" fontId="11" fillId="17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wrapText="1"/>
    </xf>
    <xf numFmtId="0" fontId="39" fillId="0" borderId="3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vertical="center" wrapText="1"/>
    </xf>
    <xf numFmtId="4" fontId="39" fillId="7" borderId="0" xfId="0" applyNumberFormat="1" applyFont="1" applyFill="1" applyBorder="1" applyAlignment="1">
      <alignment horizontal="center"/>
    </xf>
    <xf numFmtId="167" fontId="39" fillId="0" borderId="2" xfId="0" applyNumberFormat="1" applyFont="1" applyFill="1" applyBorder="1" applyAlignment="1">
      <alignment horizontal="right" vertical="center"/>
    </xf>
    <xf numFmtId="4" fontId="37" fillId="0" borderId="0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center"/>
    </xf>
    <xf numFmtId="4" fontId="39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 wrapText="1"/>
    </xf>
    <xf numFmtId="4" fontId="39" fillId="5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4" fontId="39" fillId="0" borderId="2" xfId="0" applyNumberFormat="1" applyFont="1" applyFill="1" applyBorder="1" applyAlignment="1">
      <alignment horizontal="center"/>
    </xf>
    <xf numFmtId="4" fontId="11" fillId="9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4" fontId="12" fillId="9" borderId="0" xfId="0" applyNumberFormat="1" applyFont="1" applyFill="1" applyBorder="1"/>
    <xf numFmtId="0" fontId="13" fillId="0" borderId="0" xfId="0" applyFont="1" applyAlignment="1">
      <alignment wrapText="1"/>
    </xf>
    <xf numFmtId="2" fontId="14" fillId="0" borderId="0" xfId="0" applyNumberFormat="1" applyFont="1" applyFill="1" applyAlignment="1">
      <alignment wrapText="1"/>
    </xf>
    <xf numFmtId="0" fontId="3" fillId="0" borderId="4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0" fillId="3" borderId="0" xfId="0" applyFont="1" applyFill="1" applyBorder="1" applyAlignment="1">
      <alignment vertical="top"/>
    </xf>
    <xf numFmtId="0" fontId="20" fillId="0" borderId="2" xfId="0" applyFont="1" applyFill="1" applyBorder="1" applyAlignment="1">
      <alignment horizontal="left" vertical="center" wrapText="1"/>
    </xf>
    <xf numFmtId="0" fontId="22" fillId="0" borderId="0" xfId="0" applyFont="1" applyFill="1"/>
    <xf numFmtId="4" fontId="22" fillId="0" borderId="0" xfId="0" applyNumberFormat="1" applyFont="1" applyFill="1"/>
    <xf numFmtId="4" fontId="22" fillId="0" borderId="0" xfId="0" applyNumberFormat="1" applyFont="1" applyAlignment="1">
      <alignment vertical="center"/>
    </xf>
    <xf numFmtId="0" fontId="20" fillId="0" borderId="2" xfId="0" applyFont="1" applyFill="1" applyBorder="1" applyAlignment="1">
      <alignment vertical="center" wrapText="1"/>
    </xf>
    <xf numFmtId="4" fontId="42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/>
    <xf numFmtId="4" fontId="55" fillId="0" borderId="0" xfId="0" applyNumberFormat="1" applyFont="1" applyFill="1" applyBorder="1" applyAlignment="1">
      <alignment horizontal="center"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4" fontId="56" fillId="0" borderId="0" xfId="0" applyNumberFormat="1" applyFont="1" applyFill="1" applyBorder="1" applyAlignment="1">
      <alignment vertical="center" wrapText="1"/>
    </xf>
    <xf numFmtId="4" fontId="55" fillId="0" borderId="0" xfId="0" applyNumberFormat="1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vertical="center" wrapText="1"/>
    </xf>
    <xf numFmtId="4" fontId="37" fillId="9" borderId="2" xfId="0" applyNumberFormat="1" applyFont="1" applyFill="1" applyBorder="1" applyAlignment="1">
      <alignment horizontal="center" vertical="center"/>
    </xf>
    <xf numFmtId="4" fontId="37" fillId="9" borderId="2" xfId="0" applyNumberFormat="1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vertical="center" wrapText="1"/>
    </xf>
    <xf numFmtId="4" fontId="37" fillId="4" borderId="2" xfId="0" applyNumberFormat="1" applyFont="1" applyFill="1" applyBorder="1" applyAlignment="1">
      <alignment horizontal="center" vertical="center"/>
    </xf>
    <xf numFmtId="4" fontId="34" fillId="0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vertical="center" wrapText="1"/>
    </xf>
    <xf numFmtId="170" fontId="39" fillId="9" borderId="2" xfId="0" applyNumberFormat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/>
    </xf>
    <xf numFmtId="3" fontId="28" fillId="3" borderId="2" xfId="3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17" fillId="0" borderId="7" xfId="0" applyFont="1" applyBorder="1" applyAlignment="1"/>
    <xf numFmtId="2" fontId="13" fillId="0" borderId="0" xfId="0" applyNumberFormat="1" applyFont="1" applyAlignment="1">
      <alignment wrapText="1"/>
    </xf>
    <xf numFmtId="0" fontId="13" fillId="0" borderId="0" xfId="0" applyFont="1" applyAlignment="1">
      <alignment vertical="top"/>
    </xf>
    <xf numFmtId="0" fontId="4" fillId="0" borderId="2" xfId="0" applyFont="1" applyFill="1" applyBorder="1" applyAlignment="1">
      <alignment horizontal="center" vertical="center" wrapText="1" readingOrder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15" fillId="3" borderId="3" xfId="0" applyFont="1" applyFill="1" applyBorder="1" applyAlignment="1">
      <alignment horizontal="center" vertical="center" wrapText="1" readingOrder="1"/>
    </xf>
    <xf numFmtId="0" fontId="15" fillId="3" borderId="5" xfId="0" applyFont="1" applyFill="1" applyBorder="1" applyAlignment="1">
      <alignment horizontal="center" vertical="center" wrapText="1" readingOrder="1"/>
    </xf>
    <xf numFmtId="0" fontId="7" fillId="0" borderId="6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1" fillId="0" borderId="2" xfId="0" applyFont="1" applyFill="1" applyBorder="1" applyAlignment="1">
      <alignment horizontal="center" vertical="center" wrapText="1"/>
    </xf>
    <xf numFmtId="0" fontId="17" fillId="11" borderId="5" xfId="2" applyFont="1" applyFill="1" applyBorder="1" applyAlignment="1">
      <alignment horizontal="center" vertical="center" wrapText="1"/>
    </xf>
    <xf numFmtId="0" fontId="20" fillId="11" borderId="5" xfId="1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 readingOrder="1"/>
    </xf>
    <xf numFmtId="4" fontId="2" fillId="11" borderId="2" xfId="0" applyNumberFormat="1" applyFont="1" applyFill="1" applyBorder="1" applyAlignment="1">
      <alignment horizontal="center" vertical="center" wrapText="1" readingOrder="1"/>
    </xf>
    <xf numFmtId="4" fontId="3" fillId="11" borderId="2" xfId="0" applyNumberFormat="1" applyFont="1" applyFill="1" applyBorder="1" applyAlignment="1">
      <alignment horizontal="center" vertical="center" wrapText="1" readingOrder="1"/>
    </xf>
    <xf numFmtId="0" fontId="20" fillId="4" borderId="2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top"/>
    </xf>
    <xf numFmtId="0" fontId="20" fillId="3" borderId="2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4" fontId="29" fillId="3" borderId="2" xfId="3" applyNumberFormat="1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center" vertical="center"/>
    </xf>
    <xf numFmtId="3" fontId="2" fillId="4" borderId="2" xfId="3" applyNumberFormat="1" applyFont="1" applyFill="1" applyBorder="1" applyAlignment="1">
      <alignment horizontal="center" vertical="center"/>
    </xf>
    <xf numFmtId="4" fontId="2" fillId="4" borderId="2" xfId="3" applyNumberFormat="1" applyFont="1" applyFill="1" applyBorder="1" applyAlignment="1">
      <alignment horizontal="center" vertical="center"/>
    </xf>
    <xf numFmtId="4" fontId="8" fillId="4" borderId="2" xfId="3" applyNumberFormat="1" applyFont="1" applyFill="1" applyBorder="1" applyAlignment="1">
      <alignment horizontal="center" vertical="center"/>
    </xf>
    <xf numFmtId="0" fontId="2" fillId="4" borderId="0" xfId="3" applyFont="1" applyFill="1"/>
    <xf numFmtId="0" fontId="2" fillId="4" borderId="2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/>
    </xf>
    <xf numFmtId="169" fontId="39" fillId="10" borderId="2" xfId="0" applyNumberFormat="1" applyFont="1" applyFill="1" applyBorder="1" applyAlignment="1">
      <alignment horizontal="center" vertical="center" wrapText="1"/>
    </xf>
    <xf numFmtId="4" fontId="42" fillId="10" borderId="2" xfId="0" applyNumberFormat="1" applyFont="1" applyFill="1" applyBorder="1" applyAlignment="1">
      <alignment horizontal="center" vertical="center" wrapText="1"/>
    </xf>
    <xf numFmtId="4" fontId="11" fillId="1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 wrapText="1"/>
    </xf>
    <xf numFmtId="4" fontId="8" fillId="0" borderId="0" xfId="0" applyNumberFormat="1" applyFont="1" applyFill="1" applyBorder="1" applyAlignment="1">
      <alignment horizont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" fontId="7" fillId="0" borderId="2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0" fontId="7" fillId="19" borderId="2" xfId="0" applyFont="1" applyFill="1" applyBorder="1" applyAlignment="1">
      <alignment horizontal="center" vertical="center"/>
    </xf>
    <xf numFmtId="4" fontId="7" fillId="19" borderId="2" xfId="0" applyNumberFormat="1" applyFont="1" applyFill="1" applyBorder="1" applyAlignment="1">
      <alignment horizontal="center" vertical="center"/>
    </xf>
    <xf numFmtId="4" fontId="2" fillId="19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0" fontId="7" fillId="0" borderId="5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3" fontId="28" fillId="0" borderId="2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2" fillId="18" borderId="2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8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4" fontId="41" fillId="0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wrapText="1"/>
    </xf>
    <xf numFmtId="167" fontId="39" fillId="3" borderId="0" xfId="0" applyNumberFormat="1" applyFont="1" applyFill="1" applyBorder="1" applyAlignment="1">
      <alignment vertical="center" wrapText="1"/>
    </xf>
    <xf numFmtId="168" fontId="39" fillId="0" borderId="0" xfId="0" applyNumberFormat="1" applyFont="1" applyFill="1" applyBorder="1" applyAlignment="1">
      <alignment horizontal="center"/>
    </xf>
    <xf numFmtId="4" fontId="39" fillId="19" borderId="0" xfId="0" applyNumberFormat="1" applyFont="1" applyFill="1" applyBorder="1" applyAlignment="1">
      <alignment vertical="center" wrapText="1"/>
    </xf>
    <xf numFmtId="0" fontId="11" fillId="19" borderId="0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39" fillId="20" borderId="0" xfId="0" applyNumberFormat="1" applyFont="1" applyFill="1" applyBorder="1" applyAlignment="1">
      <alignment vertical="center" wrapText="1"/>
    </xf>
    <xf numFmtId="3" fontId="39" fillId="20" borderId="0" xfId="0" applyNumberFormat="1" applyFont="1" applyFill="1" applyBorder="1" applyAlignment="1">
      <alignment horizontal="center" vertical="center" wrapText="1"/>
    </xf>
    <xf numFmtId="0" fontId="39" fillId="19" borderId="0" xfId="0" applyFont="1" applyFill="1" applyBorder="1" applyAlignment="1">
      <alignment horizontal="center" vertical="center"/>
    </xf>
    <xf numFmtId="3" fontId="56" fillId="0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/>
    </xf>
    <xf numFmtId="168" fontId="54" fillId="0" borderId="0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vertical="center" wrapText="1"/>
    </xf>
    <xf numFmtId="3" fontId="39" fillId="16" borderId="2" xfId="0" applyNumberFormat="1" applyFont="1" applyFill="1" applyBorder="1" applyAlignment="1">
      <alignment horizontal="center" vertical="center" wrapText="1"/>
    </xf>
    <xf numFmtId="4" fontId="39" fillId="16" borderId="2" xfId="0" applyNumberFormat="1" applyFont="1" applyFill="1" applyBorder="1" applyAlignment="1">
      <alignment horizontal="center" vertical="center"/>
    </xf>
    <xf numFmtId="3" fontId="39" fillId="16" borderId="2" xfId="0" applyNumberFormat="1" applyFont="1" applyFill="1" applyBorder="1" applyAlignment="1">
      <alignment horizontal="center" vertical="center"/>
    </xf>
    <xf numFmtId="0" fontId="39" fillId="16" borderId="2" xfId="0" applyFont="1" applyFill="1" applyBorder="1" applyAlignment="1">
      <alignment vertical="center" wrapText="1"/>
    </xf>
    <xf numFmtId="3" fontId="54" fillId="16" borderId="2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left" vertical="center" wrapText="1"/>
    </xf>
    <xf numFmtId="167" fontId="11" fillId="0" borderId="0" xfId="0" applyNumberFormat="1" applyFont="1" applyFill="1" applyBorder="1" applyAlignment="1">
      <alignment horizontal="center" vertical="center" wrapText="1"/>
    </xf>
    <xf numFmtId="174" fontId="11" fillId="0" borderId="0" xfId="0" applyNumberFormat="1" applyFont="1" applyFill="1" applyBorder="1" applyAlignment="1">
      <alignment horizontal="center" vertical="center" wrapText="1"/>
    </xf>
    <xf numFmtId="174" fontId="39" fillId="0" borderId="0" xfId="0" applyNumberFormat="1" applyFont="1" applyFill="1" applyBorder="1" applyAlignment="1">
      <alignment horizontal="center" vertical="center" wrapText="1"/>
    </xf>
    <xf numFmtId="170" fontId="46" fillId="0" borderId="0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 applyBorder="1"/>
    <xf numFmtId="4" fontId="28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vertical="center"/>
    </xf>
    <xf numFmtId="0" fontId="2" fillId="16" borderId="2" xfId="3" applyFont="1" applyFill="1" applyBorder="1" applyAlignment="1">
      <alignment horizontal="center" vertical="center" wrapText="1"/>
    </xf>
    <xf numFmtId="0" fontId="2" fillId="16" borderId="2" xfId="3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/>
    </xf>
    <xf numFmtId="0" fontId="2" fillId="7" borderId="2" xfId="3" applyFont="1" applyFill="1" applyBorder="1" applyAlignment="1">
      <alignment horizontal="center" vertical="center"/>
    </xf>
    <xf numFmtId="4" fontId="28" fillId="3" borderId="2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 wrapText="1"/>
    </xf>
    <xf numFmtId="4" fontId="39" fillId="0" borderId="0" xfId="0" applyNumberFormat="1" applyFont="1" applyFill="1" applyBorder="1" applyAlignment="1">
      <alignment horizontal="center" wrapText="1"/>
    </xf>
    <xf numFmtId="169" fontId="39" fillId="0" borderId="0" xfId="0" applyNumberFormat="1" applyFont="1" applyFill="1" applyBorder="1"/>
    <xf numFmtId="0" fontId="39" fillId="0" borderId="0" xfId="0" applyFont="1" applyFill="1" applyBorder="1" applyAlignment="1">
      <alignment horizontal="center" wrapText="1"/>
    </xf>
    <xf numFmtId="4" fontId="39" fillId="0" borderId="0" xfId="0" applyNumberFormat="1" applyFont="1" applyFill="1" applyBorder="1"/>
    <xf numFmtId="174" fontId="11" fillId="0" borderId="0" xfId="0" applyNumberFormat="1" applyFont="1" applyFill="1" applyBorder="1"/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4" fontId="52" fillId="0" borderId="0" xfId="0" applyNumberFormat="1" applyFont="1" applyFill="1" applyBorder="1" applyAlignment="1">
      <alignment horizontal="center" vertical="center" wrapText="1"/>
    </xf>
    <xf numFmtId="4" fontId="39" fillId="3" borderId="0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39" fillId="0" borderId="2" xfId="0" applyNumberFormat="1" applyFont="1" applyFill="1" applyBorder="1" applyAlignment="1">
      <alignment horizontal="center" vertical="center" wrapText="1"/>
    </xf>
    <xf numFmtId="3" fontId="39" fillId="4" borderId="2" xfId="0" applyNumberFormat="1" applyFont="1" applyFill="1" applyBorder="1" applyAlignment="1">
      <alignment horizontal="center" vertical="center" wrapText="1"/>
    </xf>
    <xf numFmtId="4" fontId="11" fillId="12" borderId="2" xfId="0" applyNumberFormat="1" applyFont="1" applyFill="1" applyBorder="1" applyAlignment="1">
      <alignment horizontal="center" vertical="center" wrapText="1"/>
    </xf>
    <xf numFmtId="4" fontId="11" fillId="9" borderId="2" xfId="0" applyNumberFormat="1" applyFont="1" applyFill="1" applyBorder="1" applyAlignment="1">
      <alignment horizontal="center" vertical="center" wrapText="1"/>
    </xf>
    <xf numFmtId="4" fontId="11" fillId="11" borderId="2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horizontal="center"/>
    </xf>
    <xf numFmtId="0" fontId="11" fillId="11" borderId="0" xfId="0" applyFont="1" applyFill="1" applyBorder="1" applyAlignment="1">
      <alignment horizontal="center"/>
    </xf>
    <xf numFmtId="0" fontId="2" fillId="0" borderId="0" xfId="0" applyFont="1" applyFill="1"/>
    <xf numFmtId="4" fontId="41" fillId="0" borderId="2" xfId="0" applyNumberFormat="1" applyFont="1" applyFill="1" applyBorder="1"/>
    <xf numFmtId="0" fontId="11" fillId="0" borderId="2" xfId="0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left" vertical="center" wrapText="1"/>
    </xf>
    <xf numFmtId="4" fontId="53" fillId="0" borderId="2" xfId="0" applyNumberFormat="1" applyFont="1" applyFill="1" applyBorder="1" applyAlignment="1">
      <alignment horizontal="left" vertical="center" wrapText="1"/>
    </xf>
    <xf numFmtId="4" fontId="60" fillId="0" borderId="2" xfId="0" applyNumberFormat="1" applyFont="1" applyFill="1" applyBorder="1" applyAlignment="1">
      <alignment horizontal="left" vertical="center" wrapText="1"/>
    </xf>
    <xf numFmtId="4" fontId="23" fillId="0" borderId="0" xfId="0" applyNumberFormat="1" applyFont="1" applyFill="1" applyBorder="1" applyAlignment="1">
      <alignment horizontal="left" vertical="center" wrapText="1"/>
    </xf>
    <xf numFmtId="4" fontId="39" fillId="17" borderId="0" xfId="0" applyNumberFormat="1" applyFont="1" applyFill="1" applyBorder="1" applyAlignment="1">
      <alignment horizontal="center" vertical="center" wrapText="1"/>
    </xf>
    <xf numFmtId="170" fontId="39" fillId="0" borderId="2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center" vertical="center" wrapText="1"/>
    </xf>
    <xf numFmtId="4" fontId="62" fillId="0" borderId="0" xfId="0" applyNumberFormat="1" applyFont="1" applyFill="1" applyBorder="1" applyAlignment="1">
      <alignment horizontal="left" vertical="center" wrapText="1"/>
    </xf>
    <xf numFmtId="4" fontId="11" fillId="4" borderId="0" xfId="0" applyNumberFormat="1" applyFont="1" applyFill="1" applyBorder="1" applyAlignment="1">
      <alignment horizontal="center" vertical="center" wrapText="1"/>
    </xf>
    <xf numFmtId="168" fontId="41" fillId="10" borderId="2" xfId="0" applyNumberFormat="1" applyFont="1" applyFill="1" applyBorder="1" applyAlignment="1">
      <alignment horizontal="center" vertical="center" wrapText="1"/>
    </xf>
    <xf numFmtId="4" fontId="39" fillId="10" borderId="2" xfId="0" applyNumberFormat="1" applyFont="1" applyFill="1" applyBorder="1" applyAlignment="1">
      <alignment horizontal="center" vertical="center" wrapText="1"/>
    </xf>
    <xf numFmtId="174" fontId="42" fillId="0" borderId="0" xfId="0" applyNumberFormat="1" applyFont="1" applyFill="1" applyBorder="1" applyAlignment="1">
      <alignment horizontal="center"/>
    </xf>
    <xf numFmtId="4" fontId="39" fillId="7" borderId="0" xfId="0" applyNumberFormat="1" applyFont="1" applyFill="1" applyBorder="1" applyAlignment="1">
      <alignment horizontal="left" vertical="center" wrapText="1"/>
    </xf>
    <xf numFmtId="4" fontId="11" fillId="22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center" vertical="center" wrapText="1"/>
    </xf>
    <xf numFmtId="4" fontId="11" fillId="4" borderId="0" xfId="0" applyNumberFormat="1" applyFont="1" applyFill="1" applyBorder="1" applyAlignment="1">
      <alignment horizontal="left" vertical="center" wrapText="1"/>
    </xf>
    <xf numFmtId="4" fontId="62" fillId="4" borderId="0" xfId="0" applyNumberFormat="1" applyFont="1" applyFill="1" applyBorder="1" applyAlignment="1">
      <alignment horizontal="center" vertical="center" wrapText="1"/>
    </xf>
    <xf numFmtId="168" fontId="47" fillId="4" borderId="0" xfId="0" applyNumberFormat="1" applyFont="1" applyFill="1" applyBorder="1" applyAlignment="1">
      <alignment horizontal="center" vertical="center" wrapText="1"/>
    </xf>
    <xf numFmtId="174" fontId="41" fillId="1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68" fontId="47" fillId="0" borderId="0" xfId="0" applyNumberFormat="1" applyFont="1" applyFill="1" applyBorder="1" applyAlignment="1">
      <alignment horizontal="center" vertical="center" wrapText="1"/>
    </xf>
    <xf numFmtId="4" fontId="12" fillId="7" borderId="2" xfId="0" applyNumberFormat="1" applyFont="1" applyFill="1" applyBorder="1" applyAlignment="1">
      <alignment horizontal="right" vertical="center" wrapText="1"/>
    </xf>
    <xf numFmtId="4" fontId="37" fillId="4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4" fontId="39" fillId="22" borderId="0" xfId="0" applyNumberFormat="1" applyFont="1" applyFill="1" applyBorder="1" applyAlignment="1">
      <alignment horizontal="right" vertical="center" wrapText="1"/>
    </xf>
    <xf numFmtId="4" fontId="39" fillId="22" borderId="0" xfId="0" applyNumberFormat="1" applyFont="1" applyFill="1" applyBorder="1" applyAlignment="1">
      <alignment horizontal="left" vertical="center" wrapText="1"/>
    </xf>
    <xf numFmtId="4" fontId="39" fillId="22" borderId="2" xfId="0" applyNumberFormat="1" applyFont="1" applyFill="1" applyBorder="1" applyAlignment="1">
      <alignment horizontal="center" vertical="center" wrapText="1"/>
    </xf>
    <xf numFmtId="170" fontId="62" fillId="0" borderId="0" xfId="0" applyNumberFormat="1" applyFont="1" applyFill="1" applyBorder="1" applyAlignment="1">
      <alignment horizontal="left" vertical="center" wrapText="1"/>
    </xf>
    <xf numFmtId="4" fontId="39" fillId="4" borderId="0" xfId="0" applyNumberFormat="1" applyFont="1" applyFill="1" applyBorder="1" applyAlignment="1">
      <alignment horizontal="right" vertical="center" wrapText="1"/>
    </xf>
    <xf numFmtId="4" fontId="39" fillId="4" borderId="0" xfId="0" applyNumberFormat="1" applyFont="1" applyFill="1" applyBorder="1" applyAlignment="1">
      <alignment horizontal="left" vertical="center" wrapText="1"/>
    </xf>
    <xf numFmtId="4" fontId="39" fillId="14" borderId="0" xfId="0" applyNumberFormat="1" applyFont="1" applyFill="1" applyBorder="1" applyAlignment="1">
      <alignment horizontal="right" vertical="center" wrapText="1"/>
    </xf>
    <xf numFmtId="4" fontId="39" fillId="14" borderId="0" xfId="0" applyNumberFormat="1" applyFont="1" applyFill="1" applyBorder="1" applyAlignment="1">
      <alignment horizontal="left" vertical="center" wrapText="1"/>
    </xf>
    <xf numFmtId="4" fontId="39" fillId="20" borderId="0" xfId="0" applyNumberFormat="1" applyFont="1" applyFill="1" applyBorder="1" applyAlignment="1">
      <alignment horizontal="right" vertical="center" wrapText="1"/>
    </xf>
    <xf numFmtId="4" fontId="39" fillId="20" borderId="0" xfId="0" applyNumberFormat="1" applyFont="1" applyFill="1" applyBorder="1" applyAlignment="1">
      <alignment horizontal="left" vertical="center" wrapText="1"/>
    </xf>
    <xf numFmtId="168" fontId="62" fillId="0" borderId="0" xfId="0" applyNumberFormat="1" applyFont="1" applyFill="1" applyBorder="1" applyAlignment="1">
      <alignment horizontal="left" vertical="center" wrapText="1"/>
    </xf>
    <xf numFmtId="168" fontId="5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 vertical="center" wrapText="1"/>
    </xf>
    <xf numFmtId="4" fontId="39" fillId="14" borderId="0" xfId="0" applyNumberFormat="1" applyFont="1" applyFill="1" applyBorder="1" applyAlignment="1">
      <alignment horizontal="center" vertical="center" wrapText="1"/>
    </xf>
    <xf numFmtId="4" fontId="39" fillId="20" borderId="0" xfId="0" applyNumberFormat="1" applyFont="1" applyFill="1" applyBorder="1" applyAlignment="1">
      <alignment horizontal="center" vertical="center" wrapText="1"/>
    </xf>
    <xf numFmtId="4" fontId="39" fillId="4" borderId="0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left" wrapText="1"/>
    </xf>
    <xf numFmtId="168" fontId="23" fillId="0" borderId="0" xfId="0" applyNumberFormat="1" applyFont="1" applyFill="1" applyBorder="1" applyAlignment="1">
      <alignment horizontal="center"/>
    </xf>
    <xf numFmtId="174" fontId="41" fillId="0" borderId="0" xfId="0" applyNumberFormat="1" applyFont="1" applyFill="1" applyBorder="1" applyAlignment="1">
      <alignment horizontal="center"/>
    </xf>
    <xf numFmtId="4" fontId="11" fillId="7" borderId="2" xfId="0" applyNumberFormat="1" applyFont="1" applyFill="1" applyBorder="1" applyAlignment="1">
      <alignment horizontal="right" vertical="center" wrapText="1"/>
    </xf>
    <xf numFmtId="170" fontId="11" fillId="4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9" fillId="18" borderId="2" xfId="0" applyFont="1" applyFill="1" applyBorder="1" applyAlignment="1">
      <alignment vertical="center" wrapText="1"/>
    </xf>
    <xf numFmtId="4" fontId="37" fillId="18" borderId="2" xfId="0" applyNumberFormat="1" applyFont="1" applyFill="1" applyBorder="1" applyAlignment="1">
      <alignment horizontal="center" vertical="center"/>
    </xf>
    <xf numFmtId="4" fontId="11" fillId="18" borderId="2" xfId="0" applyNumberFormat="1" applyFont="1" applyFill="1" applyBorder="1" applyAlignment="1">
      <alignment horizontal="center" vertical="center" wrapText="1"/>
    </xf>
    <xf numFmtId="4" fontId="11" fillId="18" borderId="2" xfId="0" applyNumberFormat="1" applyFont="1" applyFill="1" applyBorder="1" applyAlignment="1">
      <alignment horizontal="left" vertical="center" wrapText="1"/>
    </xf>
    <xf numFmtId="4" fontId="11" fillId="9" borderId="2" xfId="0" applyNumberFormat="1" applyFont="1" applyFill="1" applyBorder="1" applyAlignment="1">
      <alignment horizontal="left" vertical="center" wrapText="1"/>
    </xf>
    <xf numFmtId="4" fontId="63" fillId="9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vertical="center" wrapText="1"/>
    </xf>
    <xf numFmtId="4" fontId="21" fillId="12" borderId="2" xfId="0" applyNumberFormat="1" applyFont="1" applyFill="1" applyBorder="1" applyAlignment="1">
      <alignment horizontal="center" vertical="center"/>
    </xf>
    <xf numFmtId="4" fontId="39" fillId="18" borderId="0" xfId="0" applyNumberFormat="1" applyFont="1" applyFill="1" applyBorder="1" applyAlignment="1">
      <alignment horizontal="right" vertical="center" wrapText="1"/>
    </xf>
    <xf numFmtId="4" fontId="39" fillId="18" borderId="0" xfId="0" applyNumberFormat="1" applyFont="1" applyFill="1" applyBorder="1" applyAlignment="1">
      <alignment horizontal="center" vertical="center" wrapText="1"/>
    </xf>
    <xf numFmtId="4" fontId="39" fillId="12" borderId="0" xfId="0" applyNumberFormat="1" applyFont="1" applyFill="1" applyBorder="1" applyAlignment="1">
      <alignment horizontal="right" vertical="center" wrapText="1"/>
    </xf>
    <xf numFmtId="4" fontId="37" fillId="12" borderId="0" xfId="0" applyNumberFormat="1" applyFont="1" applyFill="1" applyBorder="1" applyAlignment="1">
      <alignment horizontal="center" vertical="center" wrapText="1"/>
    </xf>
    <xf numFmtId="170" fontId="11" fillId="18" borderId="2" xfId="0" applyNumberFormat="1" applyFont="1" applyFill="1" applyBorder="1" applyAlignment="1">
      <alignment horizontal="right" vertical="center" wrapText="1"/>
    </xf>
    <xf numFmtId="170" fontId="41" fillId="10" borderId="2" xfId="0" applyNumberFormat="1" applyFont="1" applyFill="1" applyBorder="1" applyAlignment="1">
      <alignment horizontal="center" vertical="center" wrapText="1"/>
    </xf>
    <xf numFmtId="4" fontId="11" fillId="18" borderId="5" xfId="0" applyNumberFormat="1" applyFont="1" applyFill="1" applyBorder="1" applyAlignment="1">
      <alignment horizontal="left" vertical="center" wrapText="1"/>
    </xf>
    <xf numFmtId="174" fontId="11" fillId="9" borderId="2" xfId="0" applyNumberFormat="1" applyFont="1" applyFill="1" applyBorder="1" applyAlignment="1">
      <alignment horizontal="left" vertical="center" wrapText="1"/>
    </xf>
    <xf numFmtId="3" fontId="58" fillId="0" borderId="2" xfId="3" applyNumberFormat="1" applyFont="1" applyFill="1" applyBorder="1" applyAlignment="1">
      <alignment horizontal="center" vertical="center"/>
    </xf>
    <xf numFmtId="0" fontId="2" fillId="7" borderId="2" xfId="3" applyFont="1" applyFill="1" applyBorder="1" applyAlignment="1">
      <alignment horizontal="left" vertical="center" wrapText="1"/>
    </xf>
    <xf numFmtId="174" fontId="11" fillId="12" borderId="2" xfId="0" applyNumberFormat="1" applyFont="1" applyFill="1" applyBorder="1" applyAlignment="1">
      <alignment horizontal="center" vertical="center" wrapText="1"/>
    </xf>
    <xf numFmtId="174" fontId="42" fillId="12" borderId="2" xfId="0" applyNumberFormat="1" applyFont="1" applyFill="1" applyBorder="1" applyAlignment="1">
      <alignment horizontal="center" vertical="center" wrapText="1"/>
    </xf>
    <xf numFmtId="4" fontId="12" fillId="12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4" fontId="39" fillId="9" borderId="2" xfId="0" applyNumberFormat="1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/>
    </xf>
    <xf numFmtId="0" fontId="2" fillId="12" borderId="2" xfId="0" applyFont="1" applyFill="1" applyBorder="1"/>
    <xf numFmtId="0" fontId="11" fillId="12" borderId="2" xfId="0" applyFont="1" applyFill="1" applyBorder="1" applyAlignment="1">
      <alignment horizontal="center"/>
    </xf>
    <xf numFmtId="4" fontId="39" fillId="12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 wrapText="1"/>
    </xf>
    <xf numFmtId="174" fontId="61" fillId="4" borderId="2" xfId="0" applyNumberFormat="1" applyFont="1" applyFill="1" applyBorder="1" applyAlignment="1">
      <alignment horizontal="center" vertical="center" wrapText="1"/>
    </xf>
    <xf numFmtId="170" fontId="11" fillId="0" borderId="0" xfId="0" applyNumberFormat="1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vertical="center" wrapText="1"/>
    </xf>
    <xf numFmtId="3" fontId="37" fillId="1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0" fontId="20" fillId="3" borderId="2" xfId="3" applyFont="1" applyFill="1" applyBorder="1" applyAlignment="1">
      <alignment horizontal="center" wrapText="1"/>
    </xf>
    <xf numFmtId="0" fontId="21" fillId="3" borderId="2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2" fillId="19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3" fontId="3" fillId="10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wrapText="1"/>
    </xf>
    <xf numFmtId="3" fontId="3" fillId="10" borderId="2" xfId="0" applyNumberFormat="1" applyFont="1" applyFill="1" applyBorder="1" applyAlignment="1">
      <alignment horizontal="center" vertical="center"/>
    </xf>
    <xf numFmtId="164" fontId="3" fillId="19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/>
    </xf>
    <xf numFmtId="4" fontId="2" fillId="18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2" fillId="4" borderId="3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2" fillId="3" borderId="2" xfId="3" applyFont="1" applyFill="1" applyBorder="1" applyAlignment="1">
      <alignment horizontal="center" vertical="center"/>
    </xf>
    <xf numFmtId="4" fontId="2" fillId="4" borderId="0" xfId="3" applyNumberFormat="1" applyFont="1" applyFill="1"/>
    <xf numFmtId="4" fontId="29" fillId="18" borderId="2" xfId="0" applyNumberFormat="1" applyFont="1" applyFill="1" applyBorder="1" applyAlignment="1">
      <alignment horizontal="center" vertical="center"/>
    </xf>
    <xf numFmtId="4" fontId="29" fillId="21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2" fillId="23" borderId="2" xfId="4" applyNumberFormat="1" applyFont="1" applyBorder="1" applyAlignment="1">
      <alignment horizontal="center" vertical="center"/>
    </xf>
    <xf numFmtId="166" fontId="2" fillId="0" borderId="0" xfId="3" applyNumberFormat="1" applyFont="1" applyFill="1" applyAlignment="1">
      <alignment horizontal="center"/>
    </xf>
    <xf numFmtId="4" fontId="3" fillId="23" borderId="2" xfId="4" applyNumberFormat="1" applyFont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 wrapText="1"/>
    </xf>
    <xf numFmtId="3" fontId="2" fillId="19" borderId="2" xfId="3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7" fontId="39" fillId="0" borderId="0" xfId="0" applyNumberFormat="1" applyFont="1" applyFill="1" applyBorder="1" applyAlignment="1">
      <alignment horizontal="center" vertical="center" wrapText="1"/>
    </xf>
    <xf numFmtId="169" fontId="11" fillId="0" borderId="0" xfId="0" applyNumberFormat="1" applyFont="1" applyFill="1" applyBorder="1" applyAlignment="1">
      <alignment horizontal="center" vertical="center" wrapText="1"/>
    </xf>
    <xf numFmtId="4" fontId="29" fillId="10" borderId="2" xfId="0" applyNumberFormat="1" applyFont="1" applyFill="1" applyBorder="1" applyAlignment="1">
      <alignment horizontal="center" vertical="center"/>
    </xf>
    <xf numFmtId="4" fontId="2" fillId="21" borderId="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3" fillId="0" borderId="8" xfId="3" applyNumberFormat="1" applyFont="1" applyFill="1" applyBorder="1" applyAlignment="1">
      <alignment horizontal="center" vertical="center"/>
    </xf>
    <xf numFmtId="4" fontId="2" fillId="0" borderId="2" xfId="1" applyNumberFormat="1" applyFont="1" applyFill="1" applyBorder="1" applyAlignment="1">
      <alignment horizontal="center" vertical="center"/>
    </xf>
    <xf numFmtId="4" fontId="58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168" fontId="12" fillId="12" borderId="2" xfId="0" applyNumberFormat="1" applyFont="1" applyFill="1" applyBorder="1" applyAlignment="1">
      <alignment horizontal="center" vertical="center" wrapText="1"/>
    </xf>
    <xf numFmtId="3" fontId="39" fillId="12" borderId="2" xfId="0" applyNumberFormat="1" applyFont="1" applyFill="1" applyBorder="1" applyAlignment="1">
      <alignment horizontal="center" vertical="center" wrapText="1"/>
    </xf>
    <xf numFmtId="4" fontId="12" fillId="9" borderId="2" xfId="0" applyNumberFormat="1" applyFont="1" applyFill="1" applyBorder="1" applyAlignment="1">
      <alignment horizontal="center" vertical="center" wrapText="1"/>
    </xf>
    <xf numFmtId="168" fontId="12" fillId="9" borderId="2" xfId="0" applyNumberFormat="1" applyFont="1" applyFill="1" applyBorder="1" applyAlignment="1">
      <alignment horizontal="center" vertical="center" wrapText="1"/>
    </xf>
    <xf numFmtId="3" fontId="39" fillId="9" borderId="2" xfId="0" applyNumberFormat="1" applyFont="1" applyFill="1" applyBorder="1" applyAlignment="1">
      <alignment horizontal="center" vertical="center" wrapText="1"/>
    </xf>
    <xf numFmtId="3" fontId="11" fillId="11" borderId="3" xfId="0" applyNumberFormat="1" applyFont="1" applyFill="1" applyBorder="1" applyAlignment="1">
      <alignment horizontal="center" vertical="center" wrapText="1"/>
    </xf>
    <xf numFmtId="4" fontId="12" fillId="12" borderId="3" xfId="0" applyNumberFormat="1" applyFont="1" applyFill="1" applyBorder="1" applyAlignment="1">
      <alignment horizontal="center" vertical="center" wrapText="1"/>
    </xf>
    <xf numFmtId="169" fontId="37" fillId="0" borderId="2" xfId="0" applyNumberFormat="1" applyFont="1" applyFill="1" applyBorder="1" applyAlignment="1">
      <alignment horizontal="center" vertical="center" wrapText="1"/>
    </xf>
    <xf numFmtId="0" fontId="2" fillId="10" borderId="2" xfId="3" applyFont="1" applyFill="1" applyBorder="1" applyAlignment="1">
      <alignment horizontal="center" vertical="center"/>
    </xf>
    <xf numFmtId="0" fontId="2" fillId="10" borderId="2" xfId="3" applyFont="1" applyFill="1" applyBorder="1" applyAlignment="1">
      <alignment horizontal="center" vertical="center" wrapText="1"/>
    </xf>
    <xf numFmtId="4" fontId="11" fillId="23" borderId="2" xfId="4" applyNumberFormat="1" applyFont="1" applyBorder="1" applyAlignment="1">
      <alignment horizontal="center" vertical="center"/>
    </xf>
    <xf numFmtId="4" fontId="39" fillId="23" borderId="2" xfId="4" applyNumberFormat="1" applyFont="1" applyBorder="1" applyAlignment="1">
      <alignment horizontal="center" vertical="center"/>
    </xf>
    <xf numFmtId="4" fontId="39" fillId="12" borderId="0" xfId="0" applyNumberFormat="1" applyFont="1" applyFill="1" applyBorder="1" applyAlignment="1">
      <alignment horizontal="center" vertical="center" wrapText="1"/>
    </xf>
    <xf numFmtId="4" fontId="11" fillId="12" borderId="0" xfId="0" applyNumberFormat="1" applyFont="1" applyFill="1" applyBorder="1" applyAlignment="1">
      <alignment horizontal="center" vertical="center" wrapText="1"/>
    </xf>
    <xf numFmtId="173" fontId="11" fillId="0" borderId="0" xfId="0" applyNumberFormat="1" applyFont="1" applyFill="1" applyBorder="1"/>
    <xf numFmtId="0" fontId="15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0" fontId="2" fillId="3" borderId="0" xfId="0" applyFont="1" applyFill="1" applyBorder="1" applyAlignment="1">
      <alignment horizontal="left" vertical="center" wrapText="1" readingOrder="1"/>
    </xf>
    <xf numFmtId="0" fontId="4" fillId="3" borderId="0" xfId="0" applyFont="1" applyFill="1" applyBorder="1" applyAlignment="1">
      <alignment horizontal="left" vertical="center" wrapText="1" readingOrder="1"/>
    </xf>
    <xf numFmtId="3" fontId="21" fillId="12" borderId="2" xfId="0" applyNumberFormat="1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vertical="center" wrapText="1"/>
    </xf>
    <xf numFmtId="4" fontId="11" fillId="11" borderId="0" xfId="0" applyNumberFormat="1" applyFont="1" applyFill="1" applyBorder="1" applyAlignment="1">
      <alignment horizontal="center" vertical="center" wrapText="1"/>
    </xf>
    <xf numFmtId="3" fontId="66" fillId="0" borderId="2" xfId="3" applyNumberFormat="1" applyFont="1" applyFill="1" applyBorder="1" applyAlignment="1">
      <alignment horizontal="center" vertical="center"/>
    </xf>
    <xf numFmtId="3" fontId="28" fillId="0" borderId="2" xfId="3" applyNumberFormat="1" applyFont="1" applyFill="1" applyBorder="1" applyAlignment="1">
      <alignment horizontal="center" vertical="center"/>
    </xf>
    <xf numFmtId="3" fontId="32" fillId="4" borderId="2" xfId="3" applyNumberFormat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3" fontId="66" fillId="3" borderId="2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3" fontId="58" fillId="0" borderId="2" xfId="3" applyNumberFormat="1" applyFont="1" applyFill="1" applyBorder="1" applyAlignment="1">
      <alignment horizontal="center" vertical="center" wrapText="1"/>
    </xf>
    <xf numFmtId="0" fontId="2" fillId="0" borderId="5" xfId="3" applyFont="1" applyFill="1" applyBorder="1" applyAlignment="1">
      <alignment horizontal="center" vertical="center"/>
    </xf>
    <xf numFmtId="3" fontId="58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 wrapText="1"/>
    </xf>
    <xf numFmtId="3" fontId="29" fillId="3" borderId="2" xfId="0" applyNumberFormat="1" applyFont="1" applyFill="1" applyBorder="1" applyAlignment="1">
      <alignment horizontal="center" vertical="center" wrapText="1"/>
    </xf>
    <xf numFmtId="3" fontId="66" fillId="3" borderId="2" xfId="0" applyNumberFormat="1" applyFont="1" applyFill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wrapText="1"/>
    </xf>
    <xf numFmtId="3" fontId="29" fillId="3" borderId="2" xfId="0" applyNumberFormat="1" applyFont="1" applyFill="1" applyBorder="1" applyAlignment="1">
      <alignment horizontal="center" vertical="center"/>
    </xf>
    <xf numFmtId="3" fontId="66" fillId="10" borderId="2" xfId="0" applyNumberFormat="1" applyFont="1" applyFill="1" applyBorder="1" applyAlignment="1">
      <alignment horizontal="center" vertical="center" wrapText="1"/>
    </xf>
    <xf numFmtId="3" fontId="58" fillId="10" borderId="2" xfId="0" applyNumberFormat="1" applyFont="1" applyFill="1" applyBorder="1" applyAlignment="1">
      <alignment horizontal="center" vertical="center" wrapText="1"/>
    </xf>
    <xf numFmtId="3" fontId="66" fillId="10" borderId="2" xfId="0" applyNumberFormat="1" applyFont="1" applyFill="1" applyBorder="1" applyAlignment="1">
      <alignment horizontal="center" vertical="center"/>
    </xf>
    <xf numFmtId="3" fontId="36" fillId="10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3" fontId="58" fillId="0" borderId="2" xfId="0" applyNumberFormat="1" applyFont="1" applyFill="1" applyBorder="1" applyAlignment="1">
      <alignment horizontal="center" vertical="center"/>
    </xf>
    <xf numFmtId="3" fontId="66" fillId="3" borderId="2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66" fillId="4" borderId="2" xfId="0" applyNumberFormat="1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 vertical="center" wrapText="1"/>
    </xf>
    <xf numFmtId="3" fontId="28" fillId="19" borderId="2" xfId="0" applyNumberFormat="1" applyFont="1" applyFill="1" applyBorder="1" applyAlignment="1">
      <alignment horizontal="center" vertical="center" wrapText="1"/>
    </xf>
    <xf numFmtId="3" fontId="32" fillId="19" borderId="2" xfId="0" applyNumberFormat="1" applyFont="1" applyFill="1" applyBorder="1" applyAlignment="1">
      <alignment horizontal="center" vertical="center"/>
    </xf>
    <xf numFmtId="3" fontId="58" fillId="19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 wrapText="1" readingOrder="1"/>
    </xf>
    <xf numFmtId="3" fontId="28" fillId="19" borderId="2" xfId="0" applyNumberFormat="1" applyFont="1" applyFill="1" applyBorder="1" applyAlignment="1">
      <alignment horizontal="center" vertical="center"/>
    </xf>
    <xf numFmtId="3" fontId="32" fillId="1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wrapText="1"/>
    </xf>
    <xf numFmtId="164" fontId="66" fillId="19" borderId="2" xfId="0" applyNumberFormat="1" applyFont="1" applyFill="1" applyBorder="1" applyAlignment="1">
      <alignment horizontal="center" vertical="center"/>
    </xf>
    <xf numFmtId="3" fontId="66" fillId="0" borderId="2" xfId="0" applyNumberFormat="1" applyFont="1" applyFill="1" applyBorder="1" applyAlignment="1">
      <alignment horizontal="center"/>
    </xf>
    <xf numFmtId="3" fontId="29" fillId="3" borderId="2" xfId="0" applyNumberFormat="1" applyFont="1" applyFill="1" applyBorder="1" applyAlignment="1">
      <alignment horizontal="center"/>
    </xf>
    <xf numFmtId="0" fontId="67" fillId="0" borderId="2" xfId="0" applyFont="1" applyFill="1" applyBorder="1" applyAlignment="1">
      <alignment horizontal="center" wrapText="1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4" fontId="53" fillId="3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/>
    <xf numFmtId="0" fontId="2" fillId="4" borderId="0" xfId="0" applyFont="1" applyFill="1" applyBorder="1" applyAlignment="1">
      <alignment vertical="center" wrapText="1"/>
    </xf>
    <xf numFmtId="0" fontId="39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3" fontId="51" fillId="4" borderId="2" xfId="0" applyNumberFormat="1" applyFont="1" applyFill="1" applyBorder="1" applyAlignment="1">
      <alignment horizontal="center" vertical="center" wrapText="1"/>
    </xf>
    <xf numFmtId="3" fontId="51" fillId="4" borderId="3" xfId="0" applyNumberFormat="1" applyFont="1" applyFill="1" applyBorder="1" applyAlignment="1">
      <alignment horizontal="center" vertical="center" wrapText="1"/>
    </xf>
    <xf numFmtId="4" fontId="12" fillId="9" borderId="3" xfId="0" applyNumberFormat="1" applyFont="1" applyFill="1" applyBorder="1" applyAlignment="1">
      <alignment horizontal="center" vertical="center" wrapText="1"/>
    </xf>
    <xf numFmtId="3" fontId="37" fillId="9" borderId="2" xfId="0" applyNumberFormat="1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9" fillId="9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4" fontId="37" fillId="7" borderId="0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3" fontId="2" fillId="10" borderId="2" xfId="3" applyNumberFormat="1" applyFont="1" applyFill="1" applyBorder="1" applyAlignment="1">
      <alignment horizontal="center" vertical="center"/>
    </xf>
    <xf numFmtId="3" fontId="29" fillId="10" borderId="2" xfId="3" applyNumberFormat="1" applyFont="1" applyFill="1" applyBorder="1" applyAlignment="1">
      <alignment horizontal="center" vertical="center"/>
    </xf>
    <xf numFmtId="4" fontId="29" fillId="10" borderId="2" xfId="3" applyNumberFormat="1" applyFont="1" applyFill="1" applyBorder="1" applyAlignment="1">
      <alignment horizontal="center" vertical="center"/>
    </xf>
    <xf numFmtId="4" fontId="2" fillId="10" borderId="2" xfId="3" applyNumberFormat="1" applyFont="1" applyFill="1" applyBorder="1" applyAlignment="1">
      <alignment horizontal="center" vertical="center"/>
    </xf>
    <xf numFmtId="4" fontId="3" fillId="10" borderId="2" xfId="3" applyNumberFormat="1" applyFont="1" applyFill="1" applyBorder="1" applyAlignment="1">
      <alignment horizontal="center" vertical="center"/>
    </xf>
    <xf numFmtId="4" fontId="28" fillId="10" borderId="2" xfId="3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2" fillId="4" borderId="2" xfId="3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3" fontId="28" fillId="10" borderId="2" xfId="3" applyNumberFormat="1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 wrapText="1"/>
    </xf>
    <xf numFmtId="3" fontId="32" fillId="4" borderId="2" xfId="0" applyNumberFormat="1" applyFont="1" applyFill="1" applyBorder="1" applyAlignment="1">
      <alignment horizontal="center" vertical="center"/>
    </xf>
    <xf numFmtId="3" fontId="58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3" fontId="28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/>
    </xf>
    <xf numFmtId="3" fontId="29" fillId="0" borderId="2" xfId="0" applyNumberFormat="1" applyFont="1" applyFill="1" applyBorder="1" applyAlignment="1">
      <alignment horizontal="center" vertical="center"/>
    </xf>
    <xf numFmtId="4" fontId="32" fillId="0" borderId="2" xfId="3" applyNumberFormat="1" applyFont="1" applyFill="1" applyBorder="1" applyAlignment="1">
      <alignment horizontal="center" vertical="center"/>
    </xf>
    <xf numFmtId="3" fontId="32" fillId="19" borderId="2" xfId="3" applyNumberFormat="1" applyFont="1" applyFill="1" applyBorder="1" applyAlignment="1">
      <alignment horizontal="center" vertical="center"/>
    </xf>
    <xf numFmtId="3" fontId="69" fillId="10" borderId="2" xfId="3" applyNumberFormat="1" applyFont="1" applyFill="1" applyBorder="1" applyAlignment="1">
      <alignment horizontal="center" vertical="center"/>
    </xf>
    <xf numFmtId="3" fontId="28" fillId="4" borderId="2" xfId="3" applyNumberFormat="1" applyFont="1" applyFill="1" applyBorder="1" applyAlignment="1">
      <alignment horizontal="center" vertical="center"/>
    </xf>
    <xf numFmtId="4" fontId="32" fillId="3" borderId="2" xfId="3" applyNumberFormat="1" applyFont="1" applyFill="1" applyBorder="1" applyAlignment="1">
      <alignment horizontal="center" vertical="center"/>
    </xf>
    <xf numFmtId="3" fontId="29" fillId="3" borderId="2" xfId="3" applyNumberFormat="1" applyFont="1" applyFill="1" applyBorder="1" applyAlignment="1">
      <alignment horizontal="center" vertical="center"/>
    </xf>
    <xf numFmtId="4" fontId="29" fillId="14" borderId="2" xfId="3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vertical="center" wrapText="1"/>
    </xf>
    <xf numFmtId="3" fontId="28" fillId="1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 vertical="center" wrapText="1"/>
    </xf>
    <xf numFmtId="3" fontId="29" fillId="10" borderId="2" xfId="0" applyNumberFormat="1" applyFont="1" applyFill="1" applyBorder="1" applyAlignment="1">
      <alignment horizontal="center" vertical="center"/>
    </xf>
    <xf numFmtId="164" fontId="29" fillId="19" borderId="2" xfId="0" applyNumberFormat="1" applyFont="1" applyFill="1" applyBorder="1" applyAlignment="1">
      <alignment horizontal="center" vertical="center"/>
    </xf>
    <xf numFmtId="3" fontId="29" fillId="4" borderId="2" xfId="0" applyNumberFormat="1" applyFont="1" applyFill="1" applyBorder="1" applyAlignment="1">
      <alignment horizontal="center"/>
    </xf>
    <xf numFmtId="4" fontId="29" fillId="9" borderId="2" xfId="3" applyNumberFormat="1" applyFont="1" applyFill="1" applyBorder="1" applyAlignment="1">
      <alignment horizontal="center" vertical="center"/>
    </xf>
    <xf numFmtId="4" fontId="66" fillId="3" borderId="2" xfId="3" applyNumberFormat="1" applyFont="1" applyFill="1" applyBorder="1" applyAlignment="1">
      <alignment horizontal="center" vertical="center"/>
    </xf>
    <xf numFmtId="4" fontId="58" fillId="0" borderId="2" xfId="3" applyNumberFormat="1" applyFont="1" applyFill="1" applyBorder="1" applyAlignment="1">
      <alignment horizontal="center" vertical="center"/>
    </xf>
    <xf numFmtId="4" fontId="58" fillId="3" borderId="2" xfId="3" applyNumberFormat="1" applyFont="1" applyFill="1" applyBorder="1" applyAlignment="1">
      <alignment horizontal="center" vertical="center"/>
    </xf>
    <xf numFmtId="4" fontId="61" fillId="0" borderId="2" xfId="0" applyNumberFormat="1" applyFont="1" applyFill="1" applyBorder="1" applyAlignment="1">
      <alignment horizontal="center" vertical="center" wrapText="1"/>
    </xf>
    <xf numFmtId="0" fontId="2" fillId="3" borderId="0" xfId="3" applyFont="1" applyFill="1" applyAlignment="1">
      <alignment horizontal="right"/>
    </xf>
    <xf numFmtId="4" fontId="2" fillId="3" borderId="0" xfId="3" applyNumberFormat="1" applyFont="1" applyFill="1" applyAlignment="1">
      <alignment horizontal="center"/>
    </xf>
    <xf numFmtId="4" fontId="69" fillId="10" borderId="2" xfId="3" applyNumberFormat="1" applyFont="1" applyFill="1" applyBorder="1" applyAlignment="1">
      <alignment horizontal="center" vertical="center"/>
    </xf>
    <xf numFmtId="3" fontId="32" fillId="10" borderId="2" xfId="3" applyNumberFormat="1" applyFont="1" applyFill="1" applyBorder="1" applyAlignment="1">
      <alignment horizontal="center" vertical="center"/>
    </xf>
    <xf numFmtId="4" fontId="32" fillId="3" borderId="2" xfId="0" applyNumberFormat="1" applyFont="1" applyFill="1" applyBorder="1" applyAlignment="1">
      <alignment horizontal="center" vertical="center"/>
    </xf>
    <xf numFmtId="4" fontId="58" fillId="0" borderId="2" xfId="0" applyNumberFormat="1" applyFont="1" applyFill="1" applyBorder="1" applyAlignment="1">
      <alignment horizontal="center" vertical="center" wrapText="1" readingOrder="1"/>
    </xf>
    <xf numFmtId="4" fontId="29" fillId="0" borderId="2" xfId="0" applyNumberFormat="1" applyFont="1" applyFill="1" applyBorder="1" applyAlignment="1">
      <alignment horizontal="center" vertical="center" wrapText="1" readingOrder="1"/>
    </xf>
    <xf numFmtId="4" fontId="2" fillId="0" borderId="2" xfId="1" applyNumberFormat="1" applyFont="1" applyFill="1" applyBorder="1" applyAlignment="1">
      <alignment horizontal="center" vertical="center" wrapText="1" readingOrder="1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40" fillId="0" borderId="0" xfId="0" applyFont="1" applyFill="1" applyBorder="1" applyAlignment="1">
      <alignment horizontal="center" vertical="top"/>
    </xf>
    <xf numFmtId="4" fontId="29" fillId="10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 wrapText="1"/>
    </xf>
    <xf numFmtId="4" fontId="58" fillId="21" borderId="2" xfId="0" applyNumberFormat="1" applyFont="1" applyFill="1" applyBorder="1" applyAlignment="1">
      <alignment horizontal="center" vertical="center"/>
    </xf>
    <xf numFmtId="4" fontId="29" fillId="10" borderId="2" xfId="0" applyNumberFormat="1" applyFont="1" applyFill="1" applyBorder="1" applyAlignment="1">
      <alignment horizontal="center"/>
    </xf>
    <xf numFmtId="4" fontId="58" fillId="0" borderId="2" xfId="1" applyNumberFormat="1" applyFont="1" applyFill="1" applyBorder="1" applyAlignment="1">
      <alignment horizontal="center" vertical="center" wrapText="1" readingOrder="1"/>
    </xf>
    <xf numFmtId="4" fontId="28" fillId="21" borderId="2" xfId="0" applyNumberFormat="1" applyFont="1" applyFill="1" applyBorder="1" applyAlignment="1">
      <alignment horizontal="center" vertical="center"/>
    </xf>
    <xf numFmtId="4" fontId="66" fillId="0" borderId="2" xfId="0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/>
    </xf>
    <xf numFmtId="4" fontId="28" fillId="18" borderId="2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left" vertical="center" wrapText="1"/>
    </xf>
    <xf numFmtId="0" fontId="7" fillId="0" borderId="5" xfId="2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8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7" fillId="0" borderId="7" xfId="2" applyFont="1" applyFill="1" applyBorder="1" applyAlignment="1">
      <alignment horizontal="center" vertical="center" wrapText="1" readingOrder="1"/>
    </xf>
    <xf numFmtId="0" fontId="7" fillId="0" borderId="8" xfId="2" applyFont="1" applyFill="1" applyBorder="1" applyAlignment="1">
      <alignment horizontal="center" vertical="center" wrapText="1" readingOrder="1"/>
    </xf>
    <xf numFmtId="2" fontId="14" fillId="0" borderId="0" xfId="0" applyNumberFormat="1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16" fillId="0" borderId="3" xfId="0" applyFont="1" applyFill="1" applyBorder="1" applyAlignment="1">
      <alignment horizontal="center" vertical="center" wrapText="1" readingOrder="1"/>
    </xf>
    <xf numFmtId="0" fontId="16" fillId="0" borderId="5" xfId="0" applyFont="1" applyFill="1" applyBorder="1" applyAlignment="1">
      <alignment horizontal="center" vertical="center" wrapText="1" readingOrder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 readingOrder="1"/>
    </xf>
    <xf numFmtId="49" fontId="4" fillId="0" borderId="8" xfId="0" applyNumberFormat="1" applyFont="1" applyFill="1" applyBorder="1" applyAlignment="1">
      <alignment horizontal="center" vertical="center" wrapText="1" readingOrder="1"/>
    </xf>
    <xf numFmtId="0" fontId="2" fillId="10" borderId="3" xfId="3" applyFont="1" applyFill="1" applyBorder="1" applyAlignment="1">
      <alignment horizontal="center" vertical="center"/>
    </xf>
    <xf numFmtId="0" fontId="2" fillId="10" borderId="5" xfId="3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 wrapText="1"/>
    </xf>
    <xf numFmtId="0" fontId="2" fillId="10" borderId="5" xfId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3" applyFont="1" applyFill="1" applyBorder="1" applyAlignment="1">
      <alignment horizontal="center" wrapText="1"/>
    </xf>
    <xf numFmtId="0" fontId="2" fillId="0" borderId="4" xfId="3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5" xfId="3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8" fillId="0" borderId="4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2" fillId="4" borderId="3" xfId="3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center" vertical="center" wrapText="1"/>
    </xf>
    <xf numFmtId="0" fontId="2" fillId="4" borderId="4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top"/>
    </xf>
    <xf numFmtId="0" fontId="3" fillId="3" borderId="7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2" fontId="14" fillId="0" borderId="0" xfId="0" applyNumberFormat="1" applyFont="1" applyBorder="1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8" fillId="10" borderId="0" xfId="0" applyNumberFormat="1" applyFont="1" applyFill="1" applyAlignment="1">
      <alignment horizontal="center"/>
    </xf>
    <xf numFmtId="0" fontId="39" fillId="0" borderId="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2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39" fillId="15" borderId="2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53" fillId="4" borderId="2" xfId="0" applyFont="1" applyFill="1" applyBorder="1" applyAlignment="1">
      <alignment horizontal="center" vertical="center" wrapText="1"/>
    </xf>
    <xf numFmtId="0" fontId="39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2" fontId="14" fillId="0" borderId="0" xfId="0" applyNumberFormat="1" applyFont="1" applyAlignment="1">
      <alignment horizontal="center" vertical="center" wrapText="1"/>
    </xf>
  </cellXfs>
  <cellStyles count="5">
    <cellStyle name="Нейтральный" xfId="4" builtinId="28"/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394"/>
  <sheetViews>
    <sheetView topLeftCell="A2" zoomScale="70" zoomScaleNormal="70" workbookViewId="0">
      <pane xSplit="4" ySplit="7" topLeftCell="G9" activePane="bottomRight" state="frozen"/>
      <selection activeCell="A2" sqref="A2"/>
      <selection pane="topRight" activeCell="E2" sqref="E2"/>
      <selection pane="bottomLeft" activeCell="A9" sqref="A9"/>
      <selection pane="bottomRight" activeCell="W2" sqref="W1:AE1048576"/>
    </sheetView>
  </sheetViews>
  <sheetFormatPr defaultColWidth="9.109375" defaultRowHeight="13.8" x14ac:dyDescent="0.25"/>
  <cols>
    <col min="1" max="1" width="19.44140625" style="1" customWidth="1"/>
    <col min="2" max="2" width="28.6640625" style="1" customWidth="1"/>
    <col min="3" max="3" width="25.6640625" style="1" customWidth="1"/>
    <col min="4" max="4" width="8.6640625" style="1" customWidth="1"/>
    <col min="5" max="5" width="14.6640625" style="2" hidden="1" customWidth="1"/>
    <col min="6" max="6" width="13.33203125" style="2" hidden="1" customWidth="1"/>
    <col min="7" max="7" width="11.6640625" style="2" customWidth="1"/>
    <col min="8" max="8" width="12.88671875" style="1" bestFit="1" customWidth="1"/>
    <col min="9" max="9" width="12.109375" style="1" bestFit="1" customWidth="1"/>
    <col min="10" max="10" width="18.33203125" style="1" customWidth="1"/>
    <col min="11" max="11" width="16" style="1" customWidth="1"/>
    <col min="12" max="12" width="13.88671875" style="1" customWidth="1"/>
    <col min="13" max="13" width="13.5546875" style="1" customWidth="1"/>
    <col min="14" max="14" width="18.88671875" style="1" customWidth="1"/>
    <col min="15" max="15" width="20.88671875" style="1" customWidth="1"/>
    <col min="16" max="16" width="18.33203125" style="1" customWidth="1"/>
    <col min="17" max="17" width="21.88671875" style="1" hidden="1" customWidth="1"/>
    <col min="18" max="18" width="18.109375" style="1" customWidth="1"/>
    <col min="19" max="19" width="18.5546875" style="2" hidden="1" customWidth="1"/>
    <col min="20" max="20" width="17.6640625" style="2" customWidth="1"/>
    <col min="21" max="21" width="19.44140625" style="2" customWidth="1"/>
    <col min="22" max="22" width="14.6640625" style="1" customWidth="1"/>
    <col min="23" max="23" width="18.44140625" style="1" hidden="1" customWidth="1"/>
    <col min="24" max="24" width="16.109375" style="1" hidden="1" customWidth="1"/>
    <col min="25" max="25" width="12.6640625" style="1" hidden="1" customWidth="1"/>
    <col min="26" max="26" width="14.6640625" style="1" hidden="1" customWidth="1"/>
    <col min="27" max="27" width="6.33203125" style="1" hidden="1" customWidth="1"/>
    <col min="28" max="28" width="13.6640625" style="1" hidden="1" customWidth="1"/>
    <col min="29" max="30" width="14.33203125" style="1" hidden="1" customWidth="1"/>
    <col min="31" max="31" width="14.6640625" style="1" hidden="1" customWidth="1"/>
    <col min="32" max="16384" width="9.109375" style="1"/>
  </cols>
  <sheetData>
    <row r="1" spans="1:31" x14ac:dyDescent="0.25">
      <c r="T1" s="3"/>
    </row>
    <row r="2" spans="1:31" x14ac:dyDescent="0.25">
      <c r="R2" s="4" t="s">
        <v>0</v>
      </c>
      <c r="S2" s="3"/>
    </row>
    <row r="3" spans="1:31" x14ac:dyDescent="0.25">
      <c r="R3" s="4" t="s">
        <v>625</v>
      </c>
      <c r="S3" s="3"/>
    </row>
    <row r="4" spans="1:31" x14ac:dyDescent="0.25">
      <c r="A4" s="821" t="s">
        <v>592</v>
      </c>
      <c r="B4" s="821"/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821"/>
      <c r="O4" s="821"/>
      <c r="P4" s="821"/>
      <c r="Q4" s="821"/>
      <c r="R4" s="821"/>
      <c r="S4" s="821"/>
      <c r="T4" s="821"/>
      <c r="U4" s="821"/>
    </row>
    <row r="5" spans="1:31" x14ac:dyDescent="0.25">
      <c r="A5" s="822" t="s">
        <v>1</v>
      </c>
      <c r="B5" s="822"/>
      <c r="C5" s="822"/>
      <c r="D5" s="5"/>
      <c r="E5" s="6"/>
      <c r="F5" s="6"/>
      <c r="G5" s="6"/>
      <c r="H5" s="7"/>
      <c r="I5" s="7"/>
      <c r="J5" s="8"/>
      <c r="K5" s="8"/>
      <c r="L5" s="8"/>
      <c r="M5" s="8"/>
      <c r="N5" s="8"/>
      <c r="O5" s="8"/>
      <c r="P5" s="8"/>
      <c r="Q5" s="8"/>
      <c r="R5" s="8"/>
      <c r="S5" s="9"/>
      <c r="T5" s="9"/>
      <c r="U5" s="9"/>
    </row>
    <row r="6" spans="1:31" ht="27.6" customHeight="1" x14ac:dyDescent="0.25">
      <c r="A6" s="823" t="s">
        <v>2</v>
      </c>
      <c r="B6" s="823" t="s">
        <v>3</v>
      </c>
      <c r="C6" s="367" t="s">
        <v>4</v>
      </c>
      <c r="D6" s="823" t="s">
        <v>5</v>
      </c>
      <c r="E6" s="824" t="s">
        <v>6</v>
      </c>
      <c r="F6" s="824"/>
      <c r="G6" s="824"/>
      <c r="H6" s="824"/>
      <c r="I6" s="824"/>
      <c r="J6" s="825" t="s">
        <v>7</v>
      </c>
      <c r="K6" s="825"/>
      <c r="L6" s="825"/>
      <c r="M6" s="825"/>
      <c r="N6" s="826" t="s">
        <v>8</v>
      </c>
      <c r="O6" s="826"/>
      <c r="P6" s="826"/>
      <c r="Q6" s="826"/>
      <c r="R6" s="826"/>
      <c r="S6" s="826"/>
      <c r="T6" s="826"/>
      <c r="U6" s="826"/>
    </row>
    <row r="7" spans="1:31" ht="110.4" x14ac:dyDescent="0.25">
      <c r="A7" s="823"/>
      <c r="B7" s="823"/>
      <c r="C7" s="367"/>
      <c r="D7" s="823"/>
      <c r="E7" s="10" t="s">
        <v>486</v>
      </c>
      <c r="F7" s="11" t="s">
        <v>487</v>
      </c>
      <c r="G7" s="448" t="s">
        <v>585</v>
      </c>
      <c r="H7" s="12" t="s">
        <v>444</v>
      </c>
      <c r="I7" s="12" t="s">
        <v>586</v>
      </c>
      <c r="J7" s="428" t="s">
        <v>9</v>
      </c>
      <c r="K7" s="13" t="s">
        <v>10</v>
      </c>
      <c r="L7" s="808" t="s">
        <v>11</v>
      </c>
      <c r="M7" s="14" t="s">
        <v>12</v>
      </c>
      <c r="N7" s="13" t="s">
        <v>587</v>
      </c>
      <c r="O7" s="13" t="s">
        <v>13</v>
      </c>
      <c r="P7" s="808" t="s">
        <v>14</v>
      </c>
      <c r="Q7" s="13" t="s">
        <v>15</v>
      </c>
      <c r="R7" s="14" t="s">
        <v>16</v>
      </c>
      <c r="S7" s="15" t="s">
        <v>17</v>
      </c>
      <c r="T7" s="15" t="s">
        <v>446</v>
      </c>
      <c r="U7" s="15" t="s">
        <v>588</v>
      </c>
    </row>
    <row r="8" spans="1:31" ht="41.4" customHeight="1" x14ac:dyDescent="0.25">
      <c r="A8" s="16" t="s">
        <v>18</v>
      </c>
      <c r="B8" s="16" t="s">
        <v>18</v>
      </c>
      <c r="C8" s="16"/>
      <c r="D8" s="16" t="s">
        <v>19</v>
      </c>
      <c r="E8" s="17" t="s">
        <v>20</v>
      </c>
      <c r="F8" s="17" t="s">
        <v>20</v>
      </c>
      <c r="G8" s="17"/>
      <c r="H8" s="18" t="s">
        <v>20</v>
      </c>
      <c r="I8" s="18" t="s">
        <v>20</v>
      </c>
      <c r="J8" s="13" t="s">
        <v>21</v>
      </c>
      <c r="K8" s="13" t="s">
        <v>21</v>
      </c>
      <c r="L8" s="13" t="s">
        <v>21</v>
      </c>
      <c r="M8" s="14" t="s">
        <v>21</v>
      </c>
      <c r="N8" s="13" t="s">
        <v>21</v>
      </c>
      <c r="O8" s="13" t="s">
        <v>21</v>
      </c>
      <c r="P8" s="13" t="s">
        <v>21</v>
      </c>
      <c r="Q8" s="13"/>
      <c r="R8" s="14" t="s">
        <v>21</v>
      </c>
      <c r="S8" s="15"/>
      <c r="T8" s="15" t="s">
        <v>21</v>
      </c>
      <c r="U8" s="15" t="s">
        <v>21</v>
      </c>
      <c r="W8" s="401" t="s">
        <v>447</v>
      </c>
      <c r="AB8" s="1" t="s">
        <v>589</v>
      </c>
    </row>
    <row r="9" spans="1:31" ht="76.2" customHeight="1" x14ac:dyDescent="0.25">
      <c r="A9" s="827" t="s">
        <v>22</v>
      </c>
      <c r="B9" s="830" t="s">
        <v>112</v>
      </c>
      <c r="C9" s="22" t="s">
        <v>23</v>
      </c>
      <c r="D9" s="19" t="s">
        <v>24</v>
      </c>
      <c r="E9" s="707">
        <f>296+28</f>
        <v>324</v>
      </c>
      <c r="F9" s="691">
        <f>296-21</f>
        <v>275</v>
      </c>
      <c r="G9" s="448">
        <f>335-27</f>
        <v>308</v>
      </c>
      <c r="H9" s="766">
        <f>280+12</f>
        <v>292</v>
      </c>
      <c r="I9" s="766">
        <f>275+20</f>
        <v>295</v>
      </c>
      <c r="J9" s="387">
        <f>SUM(K9:M9)</f>
        <v>65606.420000000013</v>
      </c>
      <c r="K9" s="387">
        <f>28292.04+2198.86</f>
        <v>30490.9</v>
      </c>
      <c r="L9" s="14">
        <v>11921.45</v>
      </c>
      <c r="M9" s="484">
        <v>23194.07</v>
      </c>
      <c r="N9" s="14">
        <f>SUM(O9:R9)</f>
        <v>20206777.359999999</v>
      </c>
      <c r="O9" s="13">
        <f>G9*K9</f>
        <v>9391197.2000000011</v>
      </c>
      <c r="P9" s="14">
        <f>G9*L9</f>
        <v>3671806.6</v>
      </c>
      <c r="Q9" s="13"/>
      <c r="R9" s="151">
        <f>G9*M9</f>
        <v>7143773.5599999996</v>
      </c>
      <c r="S9" s="150"/>
      <c r="T9" s="150">
        <f>W9</f>
        <v>19157074.640000001</v>
      </c>
      <c r="U9" s="150">
        <f>AB9</f>
        <v>19353893.899999999</v>
      </c>
      <c r="W9" s="454">
        <f>SUM(X9:AA9)</f>
        <v>19157074.640000001</v>
      </c>
      <c r="X9" s="398">
        <f>H9*K9</f>
        <v>8903342.8000000007</v>
      </c>
      <c r="Y9" s="14">
        <f>H9*L9</f>
        <v>3481063.4000000004</v>
      </c>
      <c r="Z9" s="398">
        <f>H9*M9</f>
        <v>6772668.4399999995</v>
      </c>
      <c r="AB9" s="454">
        <f>SUM(AC9:AF9)</f>
        <v>19353893.899999999</v>
      </c>
      <c r="AC9" s="398">
        <f>I9*K9</f>
        <v>8994815.5</v>
      </c>
      <c r="AD9" s="14">
        <f>I9*L9</f>
        <v>3516827.75</v>
      </c>
      <c r="AE9" s="398">
        <f>I9*M9</f>
        <v>6842250.6500000004</v>
      </c>
    </row>
    <row r="10" spans="1:31" ht="82.8" x14ac:dyDescent="0.25">
      <c r="A10" s="828"/>
      <c r="B10" s="831"/>
      <c r="C10" s="408" t="s">
        <v>25</v>
      </c>
      <c r="D10" s="19" t="s">
        <v>24</v>
      </c>
      <c r="E10" s="11" t="s">
        <v>26</v>
      </c>
      <c r="F10" s="11" t="s">
        <v>26</v>
      </c>
      <c r="G10" s="11"/>
      <c r="H10" s="418" t="s">
        <v>26</v>
      </c>
      <c r="I10" s="418" t="s">
        <v>26</v>
      </c>
      <c r="J10" s="12" t="s">
        <v>26</v>
      </c>
      <c r="K10" s="12" t="s">
        <v>26</v>
      </c>
      <c r="L10" s="151" t="s">
        <v>26</v>
      </c>
      <c r="M10" s="151" t="s">
        <v>26</v>
      </c>
      <c r="N10" s="13"/>
      <c r="O10" s="13"/>
      <c r="P10" s="151" t="s">
        <v>26</v>
      </c>
      <c r="Q10" s="151"/>
      <c r="R10" s="151" t="s">
        <v>26</v>
      </c>
      <c r="S10" s="150"/>
      <c r="T10" s="150"/>
      <c r="U10" s="150"/>
    </row>
    <row r="11" spans="1:31" x14ac:dyDescent="0.25">
      <c r="A11" s="828"/>
      <c r="B11" s="831"/>
      <c r="C11" s="408" t="s">
        <v>27</v>
      </c>
      <c r="D11" s="19"/>
      <c r="E11" s="707">
        <v>1</v>
      </c>
      <c r="F11" s="691">
        <v>1</v>
      </c>
      <c r="G11" s="448">
        <v>1</v>
      </c>
      <c r="H11" s="766"/>
      <c r="I11" s="766"/>
      <c r="J11" s="13">
        <f>K11</f>
        <v>131161.82999999999</v>
      </c>
      <c r="K11" s="151">
        <v>131161.82999999999</v>
      </c>
      <c r="L11" s="151" t="s">
        <v>26</v>
      </c>
      <c r="M11" s="151" t="s">
        <v>26</v>
      </c>
      <c r="N11" s="13">
        <f>O11</f>
        <v>131161.82999999999</v>
      </c>
      <c r="O11" s="13">
        <f>G11*K11</f>
        <v>131161.82999999999</v>
      </c>
      <c r="P11" s="151" t="s">
        <v>26</v>
      </c>
      <c r="Q11" s="151"/>
      <c r="R11" s="151" t="s">
        <v>26</v>
      </c>
      <c r="S11" s="150"/>
      <c r="T11" s="150">
        <f>H11*K11</f>
        <v>0</v>
      </c>
      <c r="U11" s="150">
        <f>I11*K11</f>
        <v>0</v>
      </c>
    </row>
    <row r="12" spans="1:31" x14ac:dyDescent="0.25">
      <c r="A12" s="828"/>
      <c r="B12" s="831"/>
      <c r="C12" s="408" t="s">
        <v>28</v>
      </c>
      <c r="D12" s="19"/>
      <c r="E12" s="707">
        <f>24-9</f>
        <v>15</v>
      </c>
      <c r="F12" s="691">
        <f>24-9</f>
        <v>15</v>
      </c>
      <c r="G12" s="448">
        <f>((E12*8)+(F12*4))/12+5</f>
        <v>20</v>
      </c>
      <c r="H12" s="448">
        <v>24</v>
      </c>
      <c r="I12" s="766">
        <v>24</v>
      </c>
      <c r="J12" s="13">
        <f>K12</f>
        <v>148317.25</v>
      </c>
      <c r="K12" s="13">
        <v>148317.25</v>
      </c>
      <c r="L12" s="151" t="s">
        <v>26</v>
      </c>
      <c r="M12" s="151" t="s">
        <v>26</v>
      </c>
      <c r="N12" s="13">
        <f>O12</f>
        <v>2966345</v>
      </c>
      <c r="O12" s="13">
        <f t="shared" ref="O12:O18" si="0">G12*K12</f>
        <v>2966345</v>
      </c>
      <c r="P12" s="151" t="s">
        <v>26</v>
      </c>
      <c r="Q12" s="151"/>
      <c r="R12" s="151" t="s">
        <v>26</v>
      </c>
      <c r="S12" s="150"/>
      <c r="T12" s="150">
        <f>H12*K12</f>
        <v>3559614</v>
      </c>
      <c r="U12" s="150">
        <f>I12*K12</f>
        <v>3559614</v>
      </c>
    </row>
    <row r="13" spans="1:31" x14ac:dyDescent="0.25">
      <c r="A13" s="828"/>
      <c r="B13" s="831"/>
      <c r="C13" s="408" t="s">
        <v>29</v>
      </c>
      <c r="D13" s="19"/>
      <c r="E13" s="707">
        <v>4</v>
      </c>
      <c r="F13" s="691">
        <v>4</v>
      </c>
      <c r="G13" s="448">
        <f t="shared" ref="G13:G29" si="1">((E13*8)+(F13*4))/12</f>
        <v>4</v>
      </c>
      <c r="H13" s="448">
        <v>4</v>
      </c>
      <c r="I13" s="766">
        <v>4</v>
      </c>
      <c r="J13" s="13">
        <f t="shared" ref="J13:J18" si="2">K13</f>
        <v>175051.01</v>
      </c>
      <c r="K13" s="151">
        <v>175051.01</v>
      </c>
      <c r="L13" s="151" t="s">
        <v>26</v>
      </c>
      <c r="M13" s="151" t="s">
        <v>26</v>
      </c>
      <c r="N13" s="13">
        <f t="shared" ref="N13:N18" si="3">O13</f>
        <v>700204.04</v>
      </c>
      <c r="O13" s="13">
        <f t="shared" si="0"/>
        <v>700204.04</v>
      </c>
      <c r="P13" s="151" t="s">
        <v>26</v>
      </c>
      <c r="Q13" s="151"/>
      <c r="R13" s="151" t="s">
        <v>26</v>
      </c>
      <c r="S13" s="150"/>
      <c r="T13" s="150">
        <f t="shared" ref="T13:T18" si="4">H13*K13</f>
        <v>700204.04</v>
      </c>
      <c r="U13" s="150">
        <f t="shared" ref="U13:U18" si="5">I13*K13</f>
        <v>700204.04</v>
      </c>
    </row>
    <row r="14" spans="1:31" x14ac:dyDescent="0.25">
      <c r="A14" s="828"/>
      <c r="B14" s="831"/>
      <c r="C14" s="408" t="s">
        <v>30</v>
      </c>
      <c r="D14" s="19"/>
      <c r="E14" s="707">
        <f>31+3</f>
        <v>34</v>
      </c>
      <c r="F14" s="691">
        <f>31+3</f>
        <v>34</v>
      </c>
      <c r="G14" s="448">
        <f t="shared" si="1"/>
        <v>34</v>
      </c>
      <c r="H14" s="448">
        <v>34</v>
      </c>
      <c r="I14" s="766">
        <f>37</f>
        <v>37</v>
      </c>
      <c r="J14" s="13">
        <f t="shared" si="2"/>
        <v>146008.26</v>
      </c>
      <c r="K14" s="151">
        <v>146008.26</v>
      </c>
      <c r="L14" s="151" t="s">
        <v>26</v>
      </c>
      <c r="M14" s="151" t="s">
        <v>26</v>
      </c>
      <c r="N14" s="13">
        <f t="shared" si="3"/>
        <v>4964280.84</v>
      </c>
      <c r="O14" s="13">
        <f t="shared" si="0"/>
        <v>4964280.84</v>
      </c>
      <c r="P14" s="151" t="s">
        <v>26</v>
      </c>
      <c r="Q14" s="151"/>
      <c r="R14" s="151" t="s">
        <v>26</v>
      </c>
      <c r="S14" s="150"/>
      <c r="T14" s="150">
        <f t="shared" si="4"/>
        <v>4964280.84</v>
      </c>
      <c r="U14" s="150">
        <f t="shared" si="5"/>
        <v>5402305.6200000001</v>
      </c>
    </row>
    <row r="15" spans="1:31" x14ac:dyDescent="0.25">
      <c r="A15" s="828"/>
      <c r="B15" s="831"/>
      <c r="C15" s="408" t="s">
        <v>31</v>
      </c>
      <c r="D15" s="19"/>
      <c r="E15" s="707">
        <v>1</v>
      </c>
      <c r="F15" s="691">
        <f>2-1</f>
        <v>1</v>
      </c>
      <c r="G15" s="448">
        <v>1</v>
      </c>
      <c r="H15" s="766"/>
      <c r="I15" s="766"/>
      <c r="J15" s="13">
        <f t="shared" si="2"/>
        <v>165472.68</v>
      </c>
      <c r="K15" s="151">
        <v>165472.68</v>
      </c>
      <c r="L15" s="151" t="s">
        <v>26</v>
      </c>
      <c r="M15" s="151" t="s">
        <v>26</v>
      </c>
      <c r="N15" s="13">
        <f t="shared" si="3"/>
        <v>165472.68</v>
      </c>
      <c r="O15" s="13">
        <f t="shared" si="0"/>
        <v>165472.68</v>
      </c>
      <c r="P15" s="151" t="s">
        <v>26</v>
      </c>
      <c r="Q15" s="151"/>
      <c r="R15" s="151" t="s">
        <v>26</v>
      </c>
      <c r="S15" s="150"/>
      <c r="T15" s="150">
        <f t="shared" si="4"/>
        <v>0</v>
      </c>
      <c r="U15" s="150">
        <f t="shared" si="5"/>
        <v>0</v>
      </c>
    </row>
    <row r="16" spans="1:31" x14ac:dyDescent="0.25">
      <c r="A16" s="828"/>
      <c r="B16" s="831"/>
      <c r="C16" s="408" t="s">
        <v>32</v>
      </c>
      <c r="D16" s="19"/>
      <c r="E16" s="11"/>
      <c r="F16" s="11"/>
      <c r="G16" s="448">
        <f t="shared" si="1"/>
        <v>0</v>
      </c>
      <c r="H16" s="766"/>
      <c r="I16" s="766"/>
      <c r="J16" s="13">
        <f t="shared" si="2"/>
        <v>191205.83</v>
      </c>
      <c r="K16" s="151">
        <v>191205.83</v>
      </c>
      <c r="L16" s="151"/>
      <c r="M16" s="151"/>
      <c r="N16" s="13">
        <f t="shared" si="3"/>
        <v>0</v>
      </c>
      <c r="O16" s="13">
        <f t="shared" si="0"/>
        <v>0</v>
      </c>
      <c r="P16" s="151" t="s">
        <v>26</v>
      </c>
      <c r="Q16" s="151"/>
      <c r="R16" s="151" t="s">
        <v>26</v>
      </c>
      <c r="S16" s="150"/>
      <c r="T16" s="150">
        <f t="shared" si="4"/>
        <v>0</v>
      </c>
      <c r="U16" s="150">
        <f t="shared" si="5"/>
        <v>0</v>
      </c>
    </row>
    <row r="17" spans="1:31" x14ac:dyDescent="0.25">
      <c r="A17" s="828"/>
      <c r="B17" s="831"/>
      <c r="C17" s="408" t="s">
        <v>33</v>
      </c>
      <c r="D17" s="19"/>
      <c r="E17" s="11"/>
      <c r="F17" s="11"/>
      <c r="G17" s="11">
        <f t="shared" si="1"/>
        <v>0</v>
      </c>
      <c r="H17" s="418"/>
      <c r="I17" s="418"/>
      <c r="J17" s="13">
        <f t="shared" si="2"/>
        <v>188155.03</v>
      </c>
      <c r="K17" s="151">
        <v>188155.03</v>
      </c>
      <c r="L17" s="151" t="s">
        <v>26</v>
      </c>
      <c r="M17" s="151" t="s">
        <v>26</v>
      </c>
      <c r="N17" s="13">
        <f t="shared" si="3"/>
        <v>0</v>
      </c>
      <c r="O17" s="13">
        <f t="shared" si="0"/>
        <v>0</v>
      </c>
      <c r="P17" s="151" t="s">
        <v>26</v>
      </c>
      <c r="Q17" s="151"/>
      <c r="R17" s="151" t="s">
        <v>26</v>
      </c>
      <c r="S17" s="150"/>
      <c r="T17" s="150">
        <f t="shared" si="4"/>
        <v>0</v>
      </c>
      <c r="U17" s="150">
        <f t="shared" si="5"/>
        <v>0</v>
      </c>
    </row>
    <row r="18" spans="1:31" x14ac:dyDescent="0.25">
      <c r="A18" s="828"/>
      <c r="B18" s="831"/>
      <c r="C18" s="408" t="s">
        <v>34</v>
      </c>
      <c r="D18" s="19"/>
      <c r="E18" s="11"/>
      <c r="F18" s="11"/>
      <c r="G18" s="11">
        <f t="shared" si="1"/>
        <v>0</v>
      </c>
      <c r="H18" s="418"/>
      <c r="I18" s="418"/>
      <c r="J18" s="13">
        <f t="shared" si="2"/>
        <v>129594.64</v>
      </c>
      <c r="K18" s="151">
        <v>129594.64</v>
      </c>
      <c r="L18" s="151" t="s">
        <v>26</v>
      </c>
      <c r="M18" s="151" t="s">
        <v>26</v>
      </c>
      <c r="N18" s="13">
        <f t="shared" si="3"/>
        <v>0</v>
      </c>
      <c r="O18" s="13">
        <f t="shared" si="0"/>
        <v>0</v>
      </c>
      <c r="P18" s="151" t="s">
        <v>26</v>
      </c>
      <c r="Q18" s="151"/>
      <c r="R18" s="151" t="s">
        <v>26</v>
      </c>
      <c r="S18" s="150"/>
      <c r="T18" s="150">
        <f t="shared" si="4"/>
        <v>0</v>
      </c>
      <c r="U18" s="150">
        <f t="shared" si="5"/>
        <v>0</v>
      </c>
    </row>
    <row r="19" spans="1:31" ht="82.95" customHeight="1" x14ac:dyDescent="0.25">
      <c r="A19" s="828"/>
      <c r="B19" s="831"/>
      <c r="C19" s="408" t="s">
        <v>35</v>
      </c>
      <c r="D19" s="19" t="s">
        <v>24</v>
      </c>
      <c r="E19" s="11">
        <v>2</v>
      </c>
      <c r="F19" s="692">
        <f>2-1</f>
        <v>1</v>
      </c>
      <c r="G19" s="448">
        <v>2</v>
      </c>
      <c r="H19" s="766">
        <f>2</f>
        <v>2</v>
      </c>
      <c r="I19" s="766">
        <f>2</f>
        <v>2</v>
      </c>
      <c r="J19" s="151">
        <f>SUM(K19:M19)</f>
        <v>316117.72000000003</v>
      </c>
      <c r="K19" s="151">
        <f>278803.34+2198.86</f>
        <v>281002.2</v>
      </c>
      <c r="L19" s="14">
        <v>11921.45</v>
      </c>
      <c r="M19" s="484">
        <v>23194.07</v>
      </c>
      <c r="N19" s="14">
        <f>SUM(O19:R19)</f>
        <v>632235.44000000006</v>
      </c>
      <c r="O19" s="14">
        <f>G19*K19</f>
        <v>562004.4</v>
      </c>
      <c r="P19" s="14">
        <f>G19*L19</f>
        <v>23842.9</v>
      </c>
      <c r="Q19" s="14"/>
      <c r="R19" s="151">
        <f>G19*M19</f>
        <v>46388.14</v>
      </c>
      <c r="S19" s="150"/>
      <c r="T19" s="150">
        <f>H19*J19</f>
        <v>632235.44000000006</v>
      </c>
      <c r="U19" s="150">
        <f>I19*J19</f>
        <v>632235.44000000006</v>
      </c>
      <c r="Y19" s="25"/>
    </row>
    <row r="20" spans="1:31" ht="18.75" customHeight="1" x14ac:dyDescent="0.25">
      <c r="A20" s="828"/>
      <c r="B20" s="831"/>
      <c r="C20" s="24" t="s">
        <v>36</v>
      </c>
      <c r="D20" s="19" t="s">
        <v>37</v>
      </c>
      <c r="E20" s="11">
        <v>12</v>
      </c>
      <c r="F20" s="11">
        <v>12</v>
      </c>
      <c r="G20" s="11">
        <f t="shared" si="1"/>
        <v>12</v>
      </c>
      <c r="H20" s="418">
        <v>12</v>
      </c>
      <c r="I20" s="418">
        <v>12</v>
      </c>
      <c r="J20" s="151">
        <f>SUM(K20:M20)</f>
        <v>234360</v>
      </c>
      <c r="K20" s="151">
        <f>10000*1.5*1.302*12</f>
        <v>234360</v>
      </c>
      <c r="L20" s="387"/>
      <c r="M20" s="14"/>
      <c r="N20" s="14">
        <f>SUM(O20:R20)</f>
        <v>2812320</v>
      </c>
      <c r="O20" s="14">
        <f>G20*K20</f>
        <v>2812320</v>
      </c>
      <c r="P20" s="14"/>
      <c r="Q20" s="14"/>
      <c r="R20" s="151"/>
      <c r="S20" s="150"/>
      <c r="T20" s="150">
        <f>H20*K20-2812320</f>
        <v>0</v>
      </c>
      <c r="U20" s="150">
        <f>I20*K20-2812320</f>
        <v>0</v>
      </c>
    </row>
    <row r="21" spans="1:31" ht="24" customHeight="1" x14ac:dyDescent="0.25">
      <c r="A21" s="828"/>
      <c r="B21" s="832"/>
      <c r="C21" s="420" t="s">
        <v>38</v>
      </c>
      <c r="D21" s="19"/>
      <c r="E21" s="612">
        <f>E9+E19</f>
        <v>326</v>
      </c>
      <c r="F21" s="694">
        <f>F9+F19</f>
        <v>276</v>
      </c>
      <c r="G21" s="612">
        <f>G9+G19</f>
        <v>310</v>
      </c>
      <c r="H21" s="615">
        <f>H9+H19</f>
        <v>294</v>
      </c>
      <c r="I21" s="615">
        <f>I9+I19</f>
        <v>297</v>
      </c>
      <c r="J21" s="13" t="s">
        <v>26</v>
      </c>
      <c r="K21" s="13" t="s">
        <v>26</v>
      </c>
      <c r="L21" s="13" t="s">
        <v>26</v>
      </c>
      <c r="M21" s="14" t="s">
        <v>26</v>
      </c>
      <c r="N21" s="421">
        <f>SUM(N9:N20)</f>
        <v>32578797.189999998</v>
      </c>
      <c r="O21" s="421">
        <f t="shared" ref="O21:U21" si="6">SUM(O9:O20)</f>
        <v>21692985.989999998</v>
      </c>
      <c r="P21" s="421">
        <f t="shared" si="6"/>
        <v>3695649.5</v>
      </c>
      <c r="Q21" s="421">
        <f t="shared" si="6"/>
        <v>0</v>
      </c>
      <c r="R21" s="801">
        <f t="shared" si="6"/>
        <v>7190161.6999999993</v>
      </c>
      <c r="S21" s="421">
        <f t="shared" si="6"/>
        <v>0</v>
      </c>
      <c r="T21" s="421">
        <f t="shared" si="6"/>
        <v>29013408.960000001</v>
      </c>
      <c r="U21" s="421">
        <f t="shared" si="6"/>
        <v>29648253</v>
      </c>
      <c r="X21" s="25"/>
    </row>
    <row r="22" spans="1:31" ht="75" customHeight="1" x14ac:dyDescent="0.25">
      <c r="A22" s="828"/>
      <c r="B22" s="833" t="s">
        <v>114</v>
      </c>
      <c r="C22" s="22" t="s">
        <v>23</v>
      </c>
      <c r="D22" s="19" t="s">
        <v>24</v>
      </c>
      <c r="E22" s="11">
        <f>358+11</f>
        <v>369</v>
      </c>
      <c r="F22" s="691">
        <f>358+11</f>
        <v>369</v>
      </c>
      <c r="G22" s="448">
        <f>369</f>
        <v>369</v>
      </c>
      <c r="H22" s="766">
        <f>367</f>
        <v>367</v>
      </c>
      <c r="I22" s="766">
        <f>368</f>
        <v>368</v>
      </c>
      <c r="J22" s="14">
        <f>SUM(K22:M22)</f>
        <v>81233.5</v>
      </c>
      <c r="K22" s="14">
        <f>43367.41+2750.57</f>
        <v>46117.98</v>
      </c>
      <c r="L22" s="14">
        <v>11921.45</v>
      </c>
      <c r="M22" s="484">
        <v>23194.07</v>
      </c>
      <c r="N22" s="14">
        <f>SUM(O22:R22)</f>
        <v>29975161.5</v>
      </c>
      <c r="O22" s="14">
        <f>G22*K22</f>
        <v>17017534.620000001</v>
      </c>
      <c r="P22" s="14">
        <f>G22*L22</f>
        <v>4399015.05</v>
      </c>
      <c r="Q22" s="151"/>
      <c r="R22" s="151">
        <f>G22*M22</f>
        <v>8558611.8300000001</v>
      </c>
      <c r="S22" s="150"/>
      <c r="T22" s="150">
        <f>W22</f>
        <v>29812694.5</v>
      </c>
      <c r="U22" s="150">
        <f>AB22</f>
        <v>29893928</v>
      </c>
      <c r="W22" s="454">
        <f>SUM(X22:AA22)</f>
        <v>29812694.5</v>
      </c>
      <c r="X22" s="398">
        <f>H22*K22</f>
        <v>16925298.66</v>
      </c>
      <c r="Y22" s="14">
        <f>H22*L22</f>
        <v>4375172.1500000004</v>
      </c>
      <c r="Z22" s="398">
        <f>H22*M22</f>
        <v>8512223.6899999995</v>
      </c>
      <c r="AB22" s="454">
        <f>SUM(AC22:AF22)</f>
        <v>29893928</v>
      </c>
      <c r="AC22" s="398">
        <f>I22*K22</f>
        <v>16971416.640000001</v>
      </c>
      <c r="AD22" s="14">
        <f>I22*L22</f>
        <v>4387093.6000000006</v>
      </c>
      <c r="AE22" s="398">
        <f>I22*M22</f>
        <v>8535417.7599999998</v>
      </c>
    </row>
    <row r="23" spans="1:31" ht="82.8" x14ac:dyDescent="0.25">
      <c r="A23" s="828"/>
      <c r="B23" s="834"/>
      <c r="C23" s="22" t="s">
        <v>39</v>
      </c>
      <c r="D23" s="19" t="s">
        <v>24</v>
      </c>
      <c r="E23" s="11" t="s">
        <v>26</v>
      </c>
      <c r="F23" s="11" t="s">
        <v>26</v>
      </c>
      <c r="G23" s="11" t="s">
        <v>26</v>
      </c>
      <c r="H23" s="418" t="s">
        <v>26</v>
      </c>
      <c r="I23" s="418" t="s">
        <v>26</v>
      </c>
      <c r="J23" s="12" t="s">
        <v>26</v>
      </c>
      <c r="K23" s="12" t="s">
        <v>26</v>
      </c>
      <c r="L23" s="12" t="s">
        <v>26</v>
      </c>
      <c r="M23" s="418"/>
      <c r="N23" s="13"/>
      <c r="O23" s="13"/>
      <c r="P23" s="12" t="s">
        <v>26</v>
      </c>
      <c r="Q23" s="12"/>
      <c r="R23" s="418" t="s">
        <v>26</v>
      </c>
      <c r="S23" s="10"/>
      <c r="T23" s="150"/>
      <c r="U23" s="150"/>
    </row>
    <row r="24" spans="1:31" x14ac:dyDescent="0.25">
      <c r="A24" s="828"/>
      <c r="B24" s="834"/>
      <c r="C24" s="22" t="s">
        <v>29</v>
      </c>
      <c r="D24" s="19" t="s">
        <v>24</v>
      </c>
      <c r="E24" s="705">
        <f>4</f>
        <v>4</v>
      </c>
      <c r="F24" s="704">
        <f>4-1</f>
        <v>3</v>
      </c>
      <c r="G24" s="448">
        <f t="shared" si="1"/>
        <v>3.6666666666666665</v>
      </c>
      <c r="H24" s="446">
        <v>4</v>
      </c>
      <c r="I24" s="446">
        <v>4</v>
      </c>
      <c r="J24" s="13">
        <f t="shared" ref="J24:J29" si="7">K24</f>
        <v>114206.08</v>
      </c>
      <c r="K24" s="151">
        <v>114206.08</v>
      </c>
      <c r="L24" s="12" t="s">
        <v>26</v>
      </c>
      <c r="M24" s="418" t="s">
        <v>26</v>
      </c>
      <c r="N24" s="13">
        <f t="shared" ref="N24:N27" si="8">O24</f>
        <v>418755.62666666665</v>
      </c>
      <c r="O24" s="13">
        <f>G24*K24</f>
        <v>418755.62666666665</v>
      </c>
      <c r="P24" s="12" t="s">
        <v>26</v>
      </c>
      <c r="Q24" s="12"/>
      <c r="R24" s="418" t="s">
        <v>26</v>
      </c>
      <c r="S24" s="10"/>
      <c r="T24" s="150">
        <f t="shared" ref="T24:T27" si="9">H24*K24</f>
        <v>456824.32000000001</v>
      </c>
      <c r="U24" s="150">
        <f t="shared" ref="U24:U27" si="10">I24*K24</f>
        <v>456824.32000000001</v>
      </c>
    </row>
    <row r="25" spans="1:31" x14ac:dyDescent="0.25">
      <c r="A25" s="828"/>
      <c r="B25" s="834"/>
      <c r="C25" s="22" t="s">
        <v>31</v>
      </c>
      <c r="D25" s="19" t="s">
        <v>24</v>
      </c>
      <c r="E25" s="613">
        <v>3</v>
      </c>
      <c r="F25" s="704">
        <f>2+1</f>
        <v>3</v>
      </c>
      <c r="G25" s="448">
        <f>3</f>
        <v>3</v>
      </c>
      <c r="H25" s="446">
        <f>3</f>
        <v>3</v>
      </c>
      <c r="I25" s="446">
        <f>3+2</f>
        <v>5</v>
      </c>
      <c r="J25" s="13">
        <f t="shared" si="7"/>
        <v>279371.78999999998</v>
      </c>
      <c r="K25" s="151">
        <v>279371.78999999998</v>
      </c>
      <c r="L25" s="12" t="s">
        <v>26</v>
      </c>
      <c r="M25" s="418" t="s">
        <v>26</v>
      </c>
      <c r="N25" s="13">
        <f t="shared" si="8"/>
        <v>838115.36999999988</v>
      </c>
      <c r="O25" s="13">
        <f t="shared" ref="O25:O27" si="11">G25*K25</f>
        <v>838115.36999999988</v>
      </c>
      <c r="P25" s="12" t="s">
        <v>26</v>
      </c>
      <c r="Q25" s="12"/>
      <c r="R25" s="418" t="s">
        <v>26</v>
      </c>
      <c r="S25" s="10"/>
      <c r="T25" s="150">
        <f t="shared" si="9"/>
        <v>838115.36999999988</v>
      </c>
      <c r="U25" s="150">
        <f t="shared" si="10"/>
        <v>1396858.95</v>
      </c>
    </row>
    <row r="26" spans="1:31" x14ac:dyDescent="0.25">
      <c r="A26" s="828"/>
      <c r="B26" s="834"/>
      <c r="C26" s="22" t="s">
        <v>33</v>
      </c>
      <c r="D26" s="19" t="s">
        <v>24</v>
      </c>
      <c r="E26" s="613">
        <v>1</v>
      </c>
      <c r="F26" s="695">
        <v>1</v>
      </c>
      <c r="G26" s="448">
        <f t="shared" si="1"/>
        <v>1</v>
      </c>
      <c r="H26" s="446">
        <v>1</v>
      </c>
      <c r="I26" s="446">
        <v>1</v>
      </c>
      <c r="J26" s="13">
        <f t="shared" si="7"/>
        <v>26993.01</v>
      </c>
      <c r="K26" s="151">
        <v>26993.01</v>
      </c>
      <c r="L26" s="12" t="s">
        <v>26</v>
      </c>
      <c r="M26" s="418" t="s">
        <v>26</v>
      </c>
      <c r="N26" s="13">
        <f t="shared" si="8"/>
        <v>26993.01</v>
      </c>
      <c r="O26" s="13">
        <f t="shared" si="11"/>
        <v>26993.01</v>
      </c>
      <c r="P26" s="12" t="s">
        <v>26</v>
      </c>
      <c r="Q26" s="12"/>
      <c r="R26" s="418" t="s">
        <v>26</v>
      </c>
      <c r="S26" s="10"/>
      <c r="T26" s="150">
        <f t="shared" si="9"/>
        <v>26993.01</v>
      </c>
      <c r="U26" s="150">
        <f t="shared" si="10"/>
        <v>26993.01</v>
      </c>
    </row>
    <row r="27" spans="1:31" x14ac:dyDescent="0.25">
      <c r="A27" s="828"/>
      <c r="B27" s="834"/>
      <c r="C27" s="22" t="s">
        <v>34</v>
      </c>
      <c r="D27" s="19" t="s">
        <v>24</v>
      </c>
      <c r="E27" s="705">
        <f>5+1</f>
        <v>6</v>
      </c>
      <c r="F27" s="695">
        <f>2+7</f>
        <v>9</v>
      </c>
      <c r="G27" s="448">
        <f t="shared" si="1"/>
        <v>7</v>
      </c>
      <c r="H27" s="446">
        <v>7</v>
      </c>
      <c r="I27" s="446">
        <v>7</v>
      </c>
      <c r="J27" s="13">
        <f t="shared" si="7"/>
        <v>19898.91</v>
      </c>
      <c r="K27" s="151">
        <v>19898.91</v>
      </c>
      <c r="L27" s="12" t="s">
        <v>26</v>
      </c>
      <c r="M27" s="418" t="s">
        <v>26</v>
      </c>
      <c r="N27" s="13">
        <f t="shared" si="8"/>
        <v>139292.37</v>
      </c>
      <c r="O27" s="13">
        <f t="shared" si="11"/>
        <v>139292.37</v>
      </c>
      <c r="P27" s="12" t="s">
        <v>26</v>
      </c>
      <c r="Q27" s="12"/>
      <c r="R27" s="418" t="s">
        <v>26</v>
      </c>
      <c r="S27" s="10"/>
      <c r="T27" s="150">
        <f t="shared" si="9"/>
        <v>139292.37</v>
      </c>
      <c r="U27" s="150">
        <f t="shared" si="10"/>
        <v>139292.37</v>
      </c>
    </row>
    <row r="28" spans="1:31" ht="82.95" customHeight="1" x14ac:dyDescent="0.25">
      <c r="A28" s="828"/>
      <c r="B28" s="835"/>
      <c r="C28" s="22" t="s">
        <v>35</v>
      </c>
      <c r="D28" s="19" t="s">
        <v>24</v>
      </c>
      <c r="E28" s="613">
        <f>4</f>
        <v>4</v>
      </c>
      <c r="F28" s="695">
        <f>4-1</f>
        <v>3</v>
      </c>
      <c r="G28" s="448">
        <v>4</v>
      </c>
      <c r="H28" s="446">
        <f>5-4</f>
        <v>1</v>
      </c>
      <c r="I28" s="446">
        <f>2-1</f>
        <v>1</v>
      </c>
      <c r="J28" s="13">
        <f t="shared" si="7"/>
        <v>317377.99</v>
      </c>
      <c r="K28" s="398">
        <f>314627.42+2750.57</f>
        <v>317377.99</v>
      </c>
      <c r="L28" s="14">
        <v>11921.45</v>
      </c>
      <c r="M28" s="484">
        <v>23194.07</v>
      </c>
      <c r="N28" s="14">
        <f>SUM(O28:R28)</f>
        <v>1409974.04</v>
      </c>
      <c r="O28" s="14">
        <f>G28*K28</f>
        <v>1269511.96</v>
      </c>
      <c r="P28" s="14">
        <f>G28*L28</f>
        <v>47685.8</v>
      </c>
      <c r="Q28" s="151"/>
      <c r="R28" s="151">
        <f>G28*M28</f>
        <v>92776.28</v>
      </c>
      <c r="S28" s="150"/>
      <c r="T28" s="150">
        <f>W28</f>
        <v>352493.51</v>
      </c>
      <c r="U28" s="150">
        <f>AB28</f>
        <v>352493.51</v>
      </c>
      <c r="W28" s="454">
        <f>SUM(X28:AA28)</f>
        <v>352493.51</v>
      </c>
      <c r="X28" s="398">
        <f>H28*K28</f>
        <v>317377.99</v>
      </c>
      <c r="Y28" s="14">
        <f>H28*L28</f>
        <v>11921.45</v>
      </c>
      <c r="Z28" s="398">
        <f>H28*M28</f>
        <v>23194.07</v>
      </c>
      <c r="AB28" s="454">
        <f>SUM(AC28:AF28)</f>
        <v>352493.51</v>
      </c>
      <c r="AC28" s="398">
        <f>I28*K28</f>
        <v>317377.99</v>
      </c>
      <c r="AD28" s="14">
        <f>I28*L28</f>
        <v>11921.45</v>
      </c>
      <c r="AE28" s="398">
        <f>I28*M28</f>
        <v>23194.07</v>
      </c>
    </row>
    <row r="29" spans="1:31" x14ac:dyDescent="0.25">
      <c r="A29" s="828"/>
      <c r="B29" s="405"/>
      <c r="C29" s="422" t="s">
        <v>36</v>
      </c>
      <c r="D29" s="19" t="s">
        <v>37</v>
      </c>
      <c r="E29" s="613">
        <v>15</v>
      </c>
      <c r="F29" s="613">
        <f>14+1</f>
        <v>15</v>
      </c>
      <c r="G29" s="11">
        <f t="shared" si="1"/>
        <v>15</v>
      </c>
      <c r="H29" s="613">
        <f>14+1</f>
        <v>15</v>
      </c>
      <c r="I29" s="613">
        <f>14+1</f>
        <v>15</v>
      </c>
      <c r="J29" s="13">
        <f t="shared" si="7"/>
        <v>234360</v>
      </c>
      <c r="K29" s="398">
        <f>10000*1.5*1.302*12</f>
        <v>234360</v>
      </c>
      <c r="L29" s="387"/>
      <c r="M29" s="14"/>
      <c r="N29" s="14">
        <f>SUM(O29:R29)</f>
        <v>3515400</v>
      </c>
      <c r="O29" s="484">
        <f>G29*K29</f>
        <v>3515400</v>
      </c>
      <c r="P29" s="14"/>
      <c r="Q29" s="151"/>
      <c r="R29" s="151"/>
      <c r="S29" s="150"/>
      <c r="T29" s="151">
        <f>H29*K29-3515400</f>
        <v>0</v>
      </c>
      <c r="U29" s="151">
        <f>I29*K29-3515400</f>
        <v>0</v>
      </c>
    </row>
    <row r="30" spans="1:31" ht="23.4" customHeight="1" x14ac:dyDescent="0.25">
      <c r="A30" s="828"/>
      <c r="B30" s="405"/>
      <c r="C30" s="423" t="s">
        <v>38</v>
      </c>
      <c r="D30" s="19"/>
      <c r="E30" s="614">
        <f>E22+E28</f>
        <v>373</v>
      </c>
      <c r="F30" s="704">
        <f>F22+F28</f>
        <v>372</v>
      </c>
      <c r="G30" s="614">
        <f>G22+G28</f>
        <v>373</v>
      </c>
      <c r="H30" s="616">
        <f>H22+H28</f>
        <v>368</v>
      </c>
      <c r="I30" s="616">
        <f>I22+I28</f>
        <v>369</v>
      </c>
      <c r="J30" s="12" t="s">
        <v>26</v>
      </c>
      <c r="K30" s="12" t="s">
        <v>26</v>
      </c>
      <c r="L30" s="12" t="s">
        <v>26</v>
      </c>
      <c r="M30" s="418" t="s">
        <v>26</v>
      </c>
      <c r="N30" s="416">
        <f>SUM(N22:N29)</f>
        <v>36323691.916666672</v>
      </c>
      <c r="O30" s="416">
        <f t="shared" ref="O30:U30" si="12">SUM(O22:O29)</f>
        <v>23225602.956666671</v>
      </c>
      <c r="P30" s="416">
        <f t="shared" si="12"/>
        <v>4446700.8499999996</v>
      </c>
      <c r="Q30" s="416">
        <f t="shared" si="12"/>
        <v>0</v>
      </c>
      <c r="R30" s="653">
        <f t="shared" si="12"/>
        <v>8651388.1099999994</v>
      </c>
      <c r="S30" s="416">
        <f t="shared" si="12"/>
        <v>0</v>
      </c>
      <c r="T30" s="416">
        <f t="shared" si="12"/>
        <v>31626413.080000006</v>
      </c>
      <c r="U30" s="416">
        <f t="shared" si="12"/>
        <v>32266390.160000004</v>
      </c>
    </row>
    <row r="31" spans="1:31" ht="74.400000000000006" customHeight="1" x14ac:dyDescent="0.25">
      <c r="A31" s="828"/>
      <c r="B31" s="833" t="s">
        <v>113</v>
      </c>
      <c r="C31" s="22" t="s">
        <v>23</v>
      </c>
      <c r="D31" s="19" t="s">
        <v>24</v>
      </c>
      <c r="E31" s="613">
        <f>47-1</f>
        <v>46</v>
      </c>
      <c r="F31" s="695">
        <f>47-12</f>
        <v>35</v>
      </c>
      <c r="G31" s="448">
        <v>42</v>
      </c>
      <c r="H31" s="424">
        <v>47</v>
      </c>
      <c r="I31" s="424">
        <v>50</v>
      </c>
      <c r="J31" s="14">
        <f>SUM(K31:M31)</f>
        <v>88611.360000000015</v>
      </c>
      <c r="K31" s="14">
        <f>50769.44+2726.4</f>
        <v>53495.840000000004</v>
      </c>
      <c r="L31" s="14">
        <v>11921.45</v>
      </c>
      <c r="M31" s="484">
        <v>23194.07</v>
      </c>
      <c r="N31" s="151">
        <f>SUM(O31:R31)</f>
        <v>3721677.12</v>
      </c>
      <c r="O31" s="151">
        <f>G31*K31</f>
        <v>2246825.2800000003</v>
      </c>
      <c r="P31" s="14">
        <f>G31*L31</f>
        <v>500700.9</v>
      </c>
      <c r="Q31" s="151"/>
      <c r="R31" s="151">
        <f>G31*M31</f>
        <v>974150.94</v>
      </c>
      <c r="S31" s="150"/>
      <c r="T31" s="150">
        <f>W31</f>
        <v>4164733.92</v>
      </c>
      <c r="U31" s="150">
        <f>AB31</f>
        <v>4430568</v>
      </c>
      <c r="W31" s="454">
        <f>SUM(X31:AA31)</f>
        <v>4164733.92</v>
      </c>
      <c r="X31" s="398">
        <f>H31*K31</f>
        <v>2514304.48</v>
      </c>
      <c r="Y31" s="14">
        <f>H31*L31</f>
        <v>560308.15</v>
      </c>
      <c r="Z31" s="398">
        <f>H31*M31</f>
        <v>1090121.29</v>
      </c>
      <c r="AB31" s="454">
        <f>SUM(AC31:AF31)</f>
        <v>4430568</v>
      </c>
      <c r="AC31" s="398">
        <f>I31*K31</f>
        <v>2674792</v>
      </c>
      <c r="AD31" s="14">
        <f>I31*L31</f>
        <v>596072.5</v>
      </c>
      <c r="AE31" s="398">
        <f>I31*M31</f>
        <v>1159703.5</v>
      </c>
    </row>
    <row r="32" spans="1:31" ht="82.8" x14ac:dyDescent="0.25">
      <c r="A32" s="828"/>
      <c r="B32" s="834"/>
      <c r="C32" s="408" t="s">
        <v>39</v>
      </c>
      <c r="D32" s="19" t="s">
        <v>24</v>
      </c>
      <c r="E32" s="11" t="s">
        <v>26</v>
      </c>
      <c r="F32" s="11" t="s">
        <v>26</v>
      </c>
      <c r="G32" s="11" t="s">
        <v>26</v>
      </c>
      <c r="H32" s="418" t="s">
        <v>26</v>
      </c>
      <c r="I32" s="418" t="s">
        <v>26</v>
      </c>
      <c r="J32" s="418" t="s">
        <v>26</v>
      </c>
      <c r="K32" s="418" t="s">
        <v>26</v>
      </c>
      <c r="L32" s="418" t="s">
        <v>26</v>
      </c>
      <c r="M32" s="418" t="s">
        <v>26</v>
      </c>
      <c r="N32" s="13"/>
      <c r="O32" s="13"/>
      <c r="P32" s="12" t="s">
        <v>26</v>
      </c>
      <c r="Q32" s="12"/>
      <c r="R32" s="418" t="s">
        <v>26</v>
      </c>
      <c r="S32" s="10"/>
      <c r="T32" s="150"/>
      <c r="U32" s="150"/>
    </row>
    <row r="33" spans="1:31" ht="20.399999999999999" customHeight="1" x14ac:dyDescent="0.25">
      <c r="A33" s="828"/>
      <c r="B33" s="834"/>
      <c r="C33" s="408" t="s">
        <v>29</v>
      </c>
      <c r="D33" s="19" t="s">
        <v>24</v>
      </c>
      <c r="E33" s="11">
        <v>1</v>
      </c>
      <c r="F33" s="691">
        <v>1</v>
      </c>
      <c r="G33" s="448">
        <f>((E33*8)+(F33*4))/12</f>
        <v>1</v>
      </c>
      <c r="H33" s="418">
        <v>0</v>
      </c>
      <c r="I33" s="418">
        <v>0</v>
      </c>
      <c r="J33" s="13">
        <f>K33</f>
        <v>116417.19</v>
      </c>
      <c r="K33" s="151">
        <v>116417.19</v>
      </c>
      <c r="L33" s="12" t="s">
        <v>26</v>
      </c>
      <c r="M33" s="418" t="s">
        <v>26</v>
      </c>
      <c r="N33" s="13">
        <f>O33</f>
        <v>116417.19</v>
      </c>
      <c r="O33" s="13">
        <f>G33*K33</f>
        <v>116417.19</v>
      </c>
      <c r="P33" s="12" t="s">
        <v>26</v>
      </c>
      <c r="Q33" s="12"/>
      <c r="R33" s="418" t="s">
        <v>26</v>
      </c>
      <c r="S33" s="10"/>
      <c r="T33" s="150">
        <f>H33*K33</f>
        <v>0</v>
      </c>
      <c r="U33" s="150">
        <f>I33*K33</f>
        <v>0</v>
      </c>
    </row>
    <row r="34" spans="1:31" ht="82.95" customHeight="1" x14ac:dyDescent="0.25">
      <c r="A34" s="828"/>
      <c r="B34" s="834"/>
      <c r="C34" s="408" t="s">
        <v>35</v>
      </c>
      <c r="D34" s="19" t="s">
        <v>24</v>
      </c>
      <c r="E34" s="613">
        <v>1</v>
      </c>
      <c r="F34" s="695">
        <v>1</v>
      </c>
      <c r="G34" s="448">
        <v>1</v>
      </c>
      <c r="H34" s="447">
        <v>0</v>
      </c>
      <c r="I34" s="447">
        <v>0</v>
      </c>
      <c r="J34" s="387">
        <f>SUM(K34:M34)</f>
        <v>387081.17000000004</v>
      </c>
      <c r="K34" s="398">
        <f>349239.25+2726.4</f>
        <v>351965.65</v>
      </c>
      <c r="L34" s="14">
        <v>11921.45</v>
      </c>
      <c r="M34" s="484">
        <v>23194.07</v>
      </c>
      <c r="N34" s="14">
        <f>SUM(O34:R34)</f>
        <v>387081.17000000004</v>
      </c>
      <c r="O34" s="648">
        <f>G34*K34</f>
        <v>351965.65</v>
      </c>
      <c r="P34" s="14">
        <f>G34*L34</f>
        <v>11921.45</v>
      </c>
      <c r="Q34" s="151"/>
      <c r="R34" s="151">
        <f>G34*M34</f>
        <v>23194.07</v>
      </c>
      <c r="S34" s="150"/>
      <c r="T34" s="150">
        <f>W34</f>
        <v>0</v>
      </c>
      <c r="U34" s="150">
        <f>AB34</f>
        <v>0</v>
      </c>
      <c r="W34" s="454">
        <f>SUM(X34:AA34)</f>
        <v>0</v>
      </c>
      <c r="X34" s="398">
        <f>H34*K34</f>
        <v>0</v>
      </c>
      <c r="Y34" s="14">
        <f>H34*L34</f>
        <v>0</v>
      </c>
      <c r="Z34" s="398">
        <f>H34*M34</f>
        <v>0</v>
      </c>
      <c r="AB34" s="454">
        <f>SUM(AC34:AF34)</f>
        <v>0</v>
      </c>
      <c r="AC34" s="398">
        <f>I34*K34</f>
        <v>0</v>
      </c>
      <c r="AD34" s="14">
        <f>I34*L34</f>
        <v>0</v>
      </c>
      <c r="AE34" s="398">
        <f>I34*M34</f>
        <v>0</v>
      </c>
    </row>
    <row r="35" spans="1:31" ht="82.8" x14ac:dyDescent="0.25">
      <c r="A35" s="828"/>
      <c r="B35" s="835"/>
      <c r="C35" s="408" t="s">
        <v>40</v>
      </c>
      <c r="D35" s="19" t="s">
        <v>24</v>
      </c>
      <c r="E35" s="613">
        <f>28-2</f>
        <v>26</v>
      </c>
      <c r="F35" s="695">
        <f>28-4</f>
        <v>24</v>
      </c>
      <c r="G35" s="448">
        <v>25</v>
      </c>
      <c r="H35" s="424">
        <v>28</v>
      </c>
      <c r="I35" s="424">
        <v>25</v>
      </c>
      <c r="J35" s="387">
        <f>SUM(K35:M35)</f>
        <v>81487.709999999992</v>
      </c>
      <c r="K35" s="398">
        <f>43645.79+2726.4</f>
        <v>46372.19</v>
      </c>
      <c r="L35" s="14">
        <v>11921.45</v>
      </c>
      <c r="M35" s="484">
        <v>23194.07</v>
      </c>
      <c r="N35" s="151">
        <f>SUM(O35:R35)</f>
        <v>2037192.75</v>
      </c>
      <c r="O35" s="398">
        <f>G35*K35</f>
        <v>1159304.75</v>
      </c>
      <c r="P35" s="14">
        <f>G35*L35</f>
        <v>298036.25</v>
      </c>
      <c r="Q35" s="418" t="s">
        <v>26</v>
      </c>
      <c r="R35" s="14">
        <f>G35*M35</f>
        <v>579851.75</v>
      </c>
      <c r="S35" s="11" t="s">
        <v>26</v>
      </c>
      <c r="T35" s="150">
        <f>W35</f>
        <v>2281655.88</v>
      </c>
      <c r="U35" s="150">
        <f>AB35</f>
        <v>2037192.75</v>
      </c>
      <c r="W35" s="454">
        <f>SUM(X35:AA35)</f>
        <v>2281655.88</v>
      </c>
      <c r="X35" s="398">
        <f>H35*K35</f>
        <v>1298421.32</v>
      </c>
      <c r="Y35" s="14">
        <f>H35*L35</f>
        <v>333800.60000000003</v>
      </c>
      <c r="Z35" s="398">
        <f>H35*M35</f>
        <v>649433.96</v>
      </c>
      <c r="AB35" s="454">
        <f>SUM(AC35:AF35)</f>
        <v>2037192.75</v>
      </c>
      <c r="AC35" s="398">
        <f>I35*K35</f>
        <v>1159304.75</v>
      </c>
      <c r="AD35" s="14">
        <f>I35*L35</f>
        <v>298036.25</v>
      </c>
      <c r="AE35" s="398">
        <f>I35*M35</f>
        <v>579851.75</v>
      </c>
    </row>
    <row r="36" spans="1:31" x14ac:dyDescent="0.25">
      <c r="A36" s="828"/>
      <c r="B36" s="406"/>
      <c r="C36" s="419" t="s">
        <v>36</v>
      </c>
      <c r="D36" s="19" t="s">
        <v>37</v>
      </c>
      <c r="E36" s="613">
        <v>4</v>
      </c>
      <c r="F36" s="613">
        <v>4</v>
      </c>
      <c r="G36" s="11">
        <f>((E36*8)+(F36*4))/12</f>
        <v>4</v>
      </c>
      <c r="H36" s="447">
        <v>4</v>
      </c>
      <c r="I36" s="447">
        <v>4</v>
      </c>
      <c r="J36" s="398">
        <f>K36+L36</f>
        <v>234360</v>
      </c>
      <c r="K36" s="398">
        <f>10000*1.5*1.302*12</f>
        <v>234360</v>
      </c>
      <c r="L36" s="387"/>
      <c r="M36" s="14"/>
      <c r="N36" s="151">
        <f>SUM(O36:R36)</f>
        <v>937440</v>
      </c>
      <c r="O36" s="454">
        <f>G36*K36</f>
        <v>937440</v>
      </c>
      <c r="P36" s="13"/>
      <c r="Q36" s="12"/>
      <c r="R36" s="14"/>
      <c r="S36" s="10"/>
      <c r="T36" s="341">
        <f>H36*K36-937440</f>
        <v>0</v>
      </c>
      <c r="U36" s="341">
        <f>I36*K36-937440</f>
        <v>0</v>
      </c>
    </row>
    <row r="37" spans="1:31" ht="25.95" customHeight="1" x14ac:dyDescent="0.25">
      <c r="A37" s="828"/>
      <c r="B37" s="405"/>
      <c r="C37" s="420" t="s">
        <v>38</v>
      </c>
      <c r="D37" s="19"/>
      <c r="E37" s="614">
        <f>E31+E34+E35</f>
        <v>73</v>
      </c>
      <c r="F37" s="704">
        <f>F31+F34+F35</f>
        <v>60</v>
      </c>
      <c r="G37" s="697">
        <f>G31+G34+G35</f>
        <v>68</v>
      </c>
      <c r="H37" s="697">
        <f t="shared" ref="H37:I37" si="13">H31+H34+H35</f>
        <v>75</v>
      </c>
      <c r="I37" s="697">
        <f t="shared" si="13"/>
        <v>75</v>
      </c>
      <c r="J37" s="398" t="s">
        <v>26</v>
      </c>
      <c r="K37" s="398" t="s">
        <v>26</v>
      </c>
      <c r="L37" s="398" t="s">
        <v>26</v>
      </c>
      <c r="M37" s="151" t="s">
        <v>26</v>
      </c>
      <c r="N37" s="416">
        <f>SUM(N31:N36)</f>
        <v>7199808.2300000004</v>
      </c>
      <c r="O37" s="416">
        <f t="shared" ref="O37:U37" si="14">SUM(O31:O36)</f>
        <v>4811952.87</v>
      </c>
      <c r="P37" s="416">
        <f t="shared" si="14"/>
        <v>810658.60000000009</v>
      </c>
      <c r="Q37" s="416">
        <f t="shared" si="14"/>
        <v>0</v>
      </c>
      <c r="R37" s="653">
        <f t="shared" si="14"/>
        <v>1577196.7599999998</v>
      </c>
      <c r="S37" s="416">
        <f t="shared" si="14"/>
        <v>0</v>
      </c>
      <c r="T37" s="416">
        <f t="shared" si="14"/>
        <v>6446389.7999999998</v>
      </c>
      <c r="U37" s="416">
        <f t="shared" si="14"/>
        <v>6467760.75</v>
      </c>
    </row>
    <row r="38" spans="1:31" ht="52.2" customHeight="1" x14ac:dyDescent="0.25">
      <c r="A38" s="828"/>
      <c r="B38" s="817" t="s">
        <v>115</v>
      </c>
      <c r="C38" s="815" t="s">
        <v>41</v>
      </c>
      <c r="D38" s="19" t="s">
        <v>24</v>
      </c>
      <c r="E38" s="705">
        <f>1250+225-118</f>
        <v>1357</v>
      </c>
      <c r="F38" s="703">
        <v>1199</v>
      </c>
      <c r="G38" s="707">
        <f>((E38*8)+(F38*4))/12</f>
        <v>1304.3333333333333</v>
      </c>
      <c r="H38" s="778">
        <f>1250+225</f>
        <v>1475</v>
      </c>
      <c r="I38" s="778">
        <f>1250+225</f>
        <v>1475</v>
      </c>
      <c r="J38" s="151">
        <f>K38</f>
        <v>4592.9799999999996</v>
      </c>
      <c r="K38" s="151">
        <v>4592.9799999999996</v>
      </c>
      <c r="L38" s="398" t="s">
        <v>26</v>
      </c>
      <c r="M38" s="151" t="s">
        <v>26</v>
      </c>
      <c r="N38" s="398">
        <f>SUM(O38:R38)</f>
        <v>5990776.9133333322</v>
      </c>
      <c r="O38" s="151">
        <f>G38*K38</f>
        <v>5990776.9133333322</v>
      </c>
      <c r="P38" s="398" t="s">
        <v>26</v>
      </c>
      <c r="Q38" s="398"/>
      <c r="R38" s="151" t="s">
        <v>26</v>
      </c>
      <c r="S38" s="399"/>
      <c r="T38" s="150">
        <f>H38*K38</f>
        <v>6774645.4999999991</v>
      </c>
      <c r="U38" s="150">
        <f>I38*K38</f>
        <v>6774645.4999999991</v>
      </c>
      <c r="W38" s="779" t="s">
        <v>606</v>
      </c>
      <c r="AC38" s="1" t="s">
        <v>42</v>
      </c>
    </row>
    <row r="39" spans="1:31" ht="52.95" customHeight="1" x14ac:dyDescent="0.25">
      <c r="A39" s="828"/>
      <c r="B39" s="818"/>
      <c r="C39" s="816"/>
      <c r="D39" s="395" t="s">
        <v>235</v>
      </c>
      <c r="E39" s="617">
        <f>159907</f>
        <v>159907</v>
      </c>
      <c r="F39" s="710">
        <v>202619</v>
      </c>
      <c r="G39" s="708">
        <f>202619+1231</f>
        <v>203850</v>
      </c>
      <c r="H39" s="714">
        <f>162164+42356</f>
        <v>204520</v>
      </c>
      <c r="I39" s="714">
        <f>162100+42910</f>
        <v>205010</v>
      </c>
      <c r="J39" s="396">
        <f>K39</f>
        <v>29.388162439702391</v>
      </c>
      <c r="K39" s="397">
        <f>N39/G39</f>
        <v>29.388162439702391</v>
      </c>
      <c r="L39" s="396" t="s">
        <v>26</v>
      </c>
      <c r="M39" s="397" t="s">
        <v>26</v>
      </c>
      <c r="N39" s="397">
        <f>N38</f>
        <v>5990776.9133333322</v>
      </c>
      <c r="O39" s="396">
        <f>O38</f>
        <v>5990776.9133333322</v>
      </c>
      <c r="P39" s="396" t="s">
        <v>26</v>
      </c>
      <c r="Q39" s="396"/>
      <c r="R39" s="397" t="s">
        <v>26</v>
      </c>
      <c r="S39" s="396"/>
      <c r="T39" s="396">
        <f>(T38/G39)*H39</f>
        <v>6796911.9335786104</v>
      </c>
      <c r="U39" s="396">
        <f>U38/G39*I39</f>
        <v>6813196.3402256547</v>
      </c>
    </row>
    <row r="40" spans="1:31" ht="24" customHeight="1" x14ac:dyDescent="0.25">
      <c r="A40" s="828"/>
      <c r="B40" s="393"/>
      <c r="C40" s="423" t="s">
        <v>38</v>
      </c>
      <c r="D40" s="19" t="s">
        <v>24</v>
      </c>
      <c r="E40" s="613">
        <f>SUM(E38:E38)</f>
        <v>1357</v>
      </c>
      <c r="F40" s="613">
        <f>SUM(F38:F38)</f>
        <v>1199</v>
      </c>
      <c r="G40" s="707">
        <f>G38</f>
        <v>1304.3333333333333</v>
      </c>
      <c r="H40" s="778">
        <f>SUM(H38:H38)</f>
        <v>1475</v>
      </c>
      <c r="I40" s="778">
        <f>SUM(I38:I38)</f>
        <v>1475</v>
      </c>
      <c r="J40" s="398" t="s">
        <v>26</v>
      </c>
      <c r="K40" s="398" t="s">
        <v>26</v>
      </c>
      <c r="L40" s="398" t="s">
        <v>26</v>
      </c>
      <c r="M40" s="151">
        <f t="shared" ref="M40:U40" si="15">SUM(M38:M38)</f>
        <v>0</v>
      </c>
      <c r="N40" s="154">
        <f t="shared" si="15"/>
        <v>5990776.9133333322</v>
      </c>
      <c r="O40" s="398">
        <f t="shared" si="15"/>
        <v>5990776.9133333322</v>
      </c>
      <c r="P40" s="398">
        <f t="shared" si="15"/>
        <v>0</v>
      </c>
      <c r="Q40" s="398"/>
      <c r="R40" s="151">
        <f t="shared" si="15"/>
        <v>0</v>
      </c>
      <c r="S40" s="399"/>
      <c r="T40" s="399">
        <f t="shared" si="15"/>
        <v>6774645.4999999991</v>
      </c>
      <c r="U40" s="399">
        <f t="shared" si="15"/>
        <v>6774645.4999999991</v>
      </c>
    </row>
    <row r="41" spans="1:31" ht="27.6" x14ac:dyDescent="0.25">
      <c r="A41" s="828"/>
      <c r="B41" s="419" t="s">
        <v>490</v>
      </c>
      <c r="C41" s="27" t="s">
        <v>44</v>
      </c>
      <c r="D41" s="19" t="s">
        <v>24</v>
      </c>
      <c r="E41" s="613">
        <v>1</v>
      </c>
      <c r="F41" s="613">
        <v>1</v>
      </c>
      <c r="G41" s="11">
        <f>((E41*8)+(F41*4))/12</f>
        <v>1</v>
      </c>
      <c r="H41" s="447">
        <v>0</v>
      </c>
      <c r="I41" s="447">
        <v>0</v>
      </c>
      <c r="J41" s="398">
        <f>K41+L41+M41</f>
        <v>280482.05</v>
      </c>
      <c r="K41" s="398"/>
      <c r="L41" s="398">
        <v>280482.05</v>
      </c>
      <c r="M41" s="151"/>
      <c r="N41" s="398">
        <f>P41</f>
        <v>280482.05</v>
      </c>
      <c r="O41" s="398"/>
      <c r="P41" s="398">
        <f>G41*L41</f>
        <v>280482.05</v>
      </c>
      <c r="Q41" s="398"/>
      <c r="R41" s="151"/>
      <c r="S41" s="399"/>
      <c r="T41" s="399">
        <f>H41*L41</f>
        <v>0</v>
      </c>
      <c r="U41" s="399">
        <f>I41*L41</f>
        <v>0</v>
      </c>
    </row>
    <row r="42" spans="1:31" ht="27.6" x14ac:dyDescent="0.25">
      <c r="A42" s="828"/>
      <c r="B42" s="411" t="s">
        <v>45</v>
      </c>
      <c r="C42" s="27" t="s">
        <v>44</v>
      </c>
      <c r="D42" s="19" t="s">
        <v>46</v>
      </c>
      <c r="E42" s="613">
        <v>14</v>
      </c>
      <c r="F42" s="613">
        <v>14</v>
      </c>
      <c r="G42" s="11">
        <f>((E42*8)+(F42*4))/12</f>
        <v>14</v>
      </c>
      <c r="H42" s="447">
        <v>14</v>
      </c>
      <c r="I42" s="447">
        <v>14</v>
      </c>
      <c r="J42" s="398" t="s">
        <v>26</v>
      </c>
      <c r="K42" s="398" t="s">
        <v>26</v>
      </c>
      <c r="L42" s="398">
        <v>419011.08</v>
      </c>
      <c r="M42" s="151"/>
      <c r="N42" s="398">
        <f>P42</f>
        <v>5866155.1200000001</v>
      </c>
      <c r="O42" s="398"/>
      <c r="P42" s="398">
        <f>G42*L42</f>
        <v>5866155.1200000001</v>
      </c>
      <c r="Q42" s="398"/>
      <c r="R42" s="151"/>
      <c r="S42" s="399"/>
      <c r="T42" s="399">
        <f>H42*L42</f>
        <v>5866155.1200000001</v>
      </c>
      <c r="U42" s="399">
        <f>I42*L42</f>
        <v>5866155.1200000001</v>
      </c>
    </row>
    <row r="43" spans="1:31" ht="13.95" hidden="1" customHeight="1" x14ac:dyDescent="0.25">
      <c r="A43" s="828"/>
      <c r="B43" s="410"/>
      <c r="C43" s="27"/>
      <c r="D43" s="19"/>
      <c r="E43" s="613"/>
      <c r="F43" s="613"/>
      <c r="G43" s="11"/>
      <c r="H43" s="447"/>
      <c r="I43" s="447"/>
      <c r="J43" s="398"/>
      <c r="K43" s="398"/>
      <c r="L43" s="398"/>
      <c r="M43" s="151"/>
      <c r="N43" s="398"/>
      <c r="O43" s="398"/>
      <c r="P43" s="398"/>
      <c r="Q43" s="398"/>
      <c r="R43" s="151"/>
      <c r="S43" s="399"/>
      <c r="T43" s="399">
        <f>Q43</f>
        <v>0</v>
      </c>
      <c r="U43" s="399">
        <f>T43</f>
        <v>0</v>
      </c>
    </row>
    <row r="44" spans="1:31" ht="13.95" hidden="1" customHeight="1" x14ac:dyDescent="0.25">
      <c r="A44" s="828"/>
      <c r="B44" s="410"/>
      <c r="C44" s="27"/>
      <c r="D44" s="19"/>
      <c r="E44" s="613"/>
      <c r="F44" s="613"/>
      <c r="G44" s="11"/>
      <c r="H44" s="418"/>
      <c r="I44" s="418"/>
      <c r="J44" s="398"/>
      <c r="K44" s="398"/>
      <c r="L44" s="398"/>
      <c r="M44" s="151"/>
      <c r="N44" s="398">
        <f>S44</f>
        <v>0</v>
      </c>
      <c r="O44" s="398"/>
      <c r="P44" s="398"/>
      <c r="Q44" s="398"/>
      <c r="R44" s="151"/>
      <c r="S44" s="399"/>
      <c r="T44" s="399"/>
      <c r="U44" s="399"/>
    </row>
    <row r="45" spans="1:31" ht="19.2" customHeight="1" x14ac:dyDescent="0.25">
      <c r="A45" s="828"/>
      <c r="B45" s="410" t="s">
        <v>47</v>
      </c>
      <c r="C45" s="27" t="s">
        <v>44</v>
      </c>
      <c r="D45" s="19"/>
      <c r="E45" s="613">
        <v>31</v>
      </c>
      <c r="F45" s="613">
        <v>31</v>
      </c>
      <c r="G45" s="11">
        <f>((E45*8)+(F45*4))/12</f>
        <v>31</v>
      </c>
      <c r="H45" s="418">
        <v>31</v>
      </c>
      <c r="I45" s="418">
        <v>31</v>
      </c>
      <c r="J45" s="398"/>
      <c r="K45" s="398"/>
      <c r="L45" s="398"/>
      <c r="M45" s="151"/>
      <c r="N45" s="151">
        <f>SUM(O45:R45)</f>
        <v>7265160</v>
      </c>
      <c r="O45" s="454">
        <f>O20+O29+O36</f>
        <v>7265160</v>
      </c>
      <c r="P45" s="398"/>
      <c r="Q45" s="398"/>
      <c r="R45" s="151"/>
      <c r="S45" s="399"/>
      <c r="T45" s="341">
        <f>T20+T29+T36</f>
        <v>0</v>
      </c>
      <c r="U45" s="341">
        <f>U20+U29+U36</f>
        <v>0</v>
      </c>
    </row>
    <row r="46" spans="1:31" hidden="1" x14ac:dyDescent="0.25">
      <c r="A46" s="828"/>
      <c r="B46" s="410" t="s">
        <v>48</v>
      </c>
      <c r="C46" s="27" t="s">
        <v>44</v>
      </c>
      <c r="D46" s="19"/>
      <c r="E46" s="613"/>
      <c r="F46" s="613"/>
      <c r="G46" s="11"/>
      <c r="H46" s="447"/>
      <c r="I46" s="447"/>
      <c r="J46" s="398"/>
      <c r="K46" s="398"/>
      <c r="L46" s="398"/>
      <c r="M46" s="151"/>
      <c r="N46" s="398">
        <f>O46</f>
        <v>0</v>
      </c>
      <c r="O46" s="398"/>
      <c r="P46" s="398"/>
      <c r="Q46" s="398"/>
      <c r="R46" s="151"/>
      <c r="S46" s="399"/>
      <c r="T46" s="399">
        <f>O46</f>
        <v>0</v>
      </c>
      <c r="U46" s="399">
        <f>T46</f>
        <v>0</v>
      </c>
    </row>
    <row r="47" spans="1:31" hidden="1" x14ac:dyDescent="0.25">
      <c r="A47" s="828"/>
      <c r="B47" s="410" t="s">
        <v>49</v>
      </c>
      <c r="C47" s="27" t="s">
        <v>44</v>
      </c>
      <c r="D47" s="19"/>
      <c r="E47" s="613"/>
      <c r="F47" s="613"/>
      <c r="G47" s="11"/>
      <c r="H47" s="447"/>
      <c r="I47" s="447"/>
      <c r="J47" s="398"/>
      <c r="K47" s="398"/>
      <c r="L47" s="398"/>
      <c r="M47" s="151"/>
      <c r="N47" s="398">
        <f>P47</f>
        <v>0</v>
      </c>
      <c r="O47" s="398"/>
      <c r="P47" s="398"/>
      <c r="Q47" s="398"/>
      <c r="R47" s="151"/>
      <c r="S47" s="399"/>
      <c r="T47" s="399"/>
      <c r="U47" s="399">
        <f>T47</f>
        <v>0</v>
      </c>
    </row>
    <row r="48" spans="1:31" ht="19.2" customHeight="1" x14ac:dyDescent="0.25">
      <c r="A48" s="829"/>
      <c r="B48" s="409" t="s">
        <v>50</v>
      </c>
      <c r="C48" s="426"/>
      <c r="D48" s="412"/>
      <c r="E48" s="614">
        <f>E21+E30+E37</f>
        <v>772</v>
      </c>
      <c r="F48" s="712">
        <f>F21+F30+F37</f>
        <v>708</v>
      </c>
      <c r="G48" s="614">
        <f>G21+G30+G37</f>
        <v>751</v>
      </c>
      <c r="H48" s="616">
        <f>H21+H30+H37</f>
        <v>737</v>
      </c>
      <c r="I48" s="616">
        <f>I21+I30+I37</f>
        <v>741</v>
      </c>
      <c r="J48" s="416"/>
      <c r="K48" s="416"/>
      <c r="L48" s="416"/>
      <c r="M48" s="154"/>
      <c r="N48" s="416">
        <f>SUM(O48:S48)</f>
        <v>88239711.420000017</v>
      </c>
      <c r="O48" s="416">
        <f>O21+O30+O37+O40+O46</f>
        <v>55721318.730000004</v>
      </c>
      <c r="P48" s="416">
        <f>P21+P30+P37+P40+P41+P42+P43+P47</f>
        <v>15099646.120000001</v>
      </c>
      <c r="Q48" s="416">
        <f>Q21+Q30+Q37+Q40+Q41+Q42+Q43</f>
        <v>0</v>
      </c>
      <c r="R48" s="653">
        <f>R21+R30+R37+R40+R41+R42+R43+R44</f>
        <v>17418746.57</v>
      </c>
      <c r="S48" s="425">
        <f>S21+S30+S37+S40+S41+S42+S43+S44</f>
        <v>0</v>
      </c>
      <c r="T48" s="425">
        <f>T21+T30+T37+T40+T41+T42+T43+T44+T46+T47+0.01</f>
        <v>79727012.470000014</v>
      </c>
      <c r="U48" s="425">
        <f>U21+U30+U37+U40+U41+U42+U43+U44+U46+U47+0.01</f>
        <v>81023204.540000007</v>
      </c>
      <c r="X48" s="25"/>
      <c r="Y48" s="25"/>
      <c r="AB48" s="25"/>
    </row>
    <row r="49" spans="1:31" ht="75" customHeight="1" x14ac:dyDescent="0.25">
      <c r="A49" s="836" t="s">
        <v>51</v>
      </c>
      <c r="B49" s="833" t="s">
        <v>315</v>
      </c>
      <c r="C49" s="22" t="s">
        <v>23</v>
      </c>
      <c r="D49" s="403" t="s">
        <v>24</v>
      </c>
      <c r="E49" s="11">
        <v>232</v>
      </c>
      <c r="F49" s="691">
        <v>199</v>
      </c>
      <c r="G49" s="11">
        <f t="shared" ref="G49" si="16">((E49*8)+(F49*4))/12</f>
        <v>221</v>
      </c>
      <c r="H49" s="418">
        <v>245</v>
      </c>
      <c r="I49" s="418">
        <v>245</v>
      </c>
      <c r="J49" s="387">
        <f>SUM(K49:M49)</f>
        <v>66884.09</v>
      </c>
      <c r="K49" s="387">
        <f>28292.04+2198.86</f>
        <v>30490.9</v>
      </c>
      <c r="L49" s="387">
        <v>13199.12</v>
      </c>
      <c r="M49" s="484">
        <v>23194.07</v>
      </c>
      <c r="N49" s="13">
        <f>SUM(O49:R49)</f>
        <v>16990267.84</v>
      </c>
      <c r="O49" s="13">
        <f>G49*K49</f>
        <v>6738488.9000000004</v>
      </c>
      <c r="P49" s="484">
        <f>G49*M49</f>
        <v>5125889.47</v>
      </c>
      <c r="Q49" s="14"/>
      <c r="R49" s="151">
        <f>G49*M49</f>
        <v>5125889.47</v>
      </c>
      <c r="S49" s="150"/>
      <c r="T49" s="150">
        <f>W49</f>
        <v>16386602.050000001</v>
      </c>
      <c r="U49" s="150">
        <f>AB49</f>
        <v>16386602.050000001</v>
      </c>
      <c r="W49" s="454">
        <f>SUM(X49:AA49)</f>
        <v>16386602.050000001</v>
      </c>
      <c r="X49" s="398">
        <f>H49*K49</f>
        <v>7470270.5</v>
      </c>
      <c r="Y49" s="14">
        <f>H49*L49</f>
        <v>3233784.4000000004</v>
      </c>
      <c r="Z49" s="398">
        <f>H49*M49</f>
        <v>5682547.1500000004</v>
      </c>
      <c r="AB49" s="454">
        <f>SUM(AC49:AF49)</f>
        <v>16386602.050000001</v>
      </c>
      <c r="AC49" s="398">
        <f>I49*K49</f>
        <v>7470270.5</v>
      </c>
      <c r="AD49" s="14">
        <f>I49*L49</f>
        <v>3233784.4000000004</v>
      </c>
      <c r="AE49" s="398">
        <f>I49*M49</f>
        <v>5682547.1500000004</v>
      </c>
    </row>
    <row r="50" spans="1:31" ht="82.8" x14ac:dyDescent="0.25">
      <c r="A50" s="837"/>
      <c r="B50" s="834"/>
      <c r="C50" s="408" t="s">
        <v>25</v>
      </c>
      <c r="D50" s="403" t="s">
        <v>24</v>
      </c>
      <c r="E50" s="10" t="s">
        <v>26</v>
      </c>
      <c r="F50" s="10" t="s">
        <v>26</v>
      </c>
      <c r="G50" s="11" t="s">
        <v>26</v>
      </c>
      <c r="H50" s="418" t="s">
        <v>26</v>
      </c>
      <c r="I50" s="418" t="s">
        <v>26</v>
      </c>
      <c r="J50" s="12" t="s">
        <v>26</v>
      </c>
      <c r="K50" s="12" t="s">
        <v>26</v>
      </c>
      <c r="L50" s="12" t="s">
        <v>26</v>
      </c>
      <c r="M50" s="418" t="s">
        <v>26</v>
      </c>
      <c r="N50" s="13"/>
      <c r="O50" s="13"/>
      <c r="P50" s="12" t="s">
        <v>26</v>
      </c>
      <c r="Q50" s="12"/>
      <c r="R50" s="418" t="s">
        <v>26</v>
      </c>
      <c r="S50" s="10"/>
      <c r="T50" s="150"/>
      <c r="U50" s="150"/>
    </row>
    <row r="51" spans="1:31" x14ac:dyDescent="0.25">
      <c r="A51" s="837"/>
      <c r="B51" s="834"/>
      <c r="C51" s="408" t="s">
        <v>27</v>
      </c>
      <c r="D51" s="403" t="s">
        <v>24</v>
      </c>
      <c r="E51" s="11">
        <v>1</v>
      </c>
      <c r="F51" s="691">
        <v>1</v>
      </c>
      <c r="G51" s="11">
        <f>((E51*8)+(F51*4))/12</f>
        <v>1</v>
      </c>
      <c r="H51" s="418">
        <v>1</v>
      </c>
      <c r="I51" s="418">
        <v>1</v>
      </c>
      <c r="J51" s="151">
        <f t="shared" ref="J51:J58" si="17">K51</f>
        <v>131161.82999999999</v>
      </c>
      <c r="K51" s="13">
        <v>131161.82999999999</v>
      </c>
      <c r="L51" s="12" t="s">
        <v>26</v>
      </c>
      <c r="M51" s="418" t="s">
        <v>26</v>
      </c>
      <c r="N51" s="13">
        <f t="shared" ref="N51:N58" si="18">O51</f>
        <v>131161.82999999999</v>
      </c>
      <c r="O51" s="13">
        <f>G51*K51</f>
        <v>131161.82999999999</v>
      </c>
      <c r="P51" s="12" t="s">
        <v>26</v>
      </c>
      <c r="Q51" s="12"/>
      <c r="R51" s="418" t="s">
        <v>26</v>
      </c>
      <c r="S51" s="10"/>
      <c r="T51" s="150">
        <f t="shared" ref="T51:T58" si="19">H51*K51</f>
        <v>131161.82999999999</v>
      </c>
      <c r="U51" s="150">
        <f t="shared" ref="U51:U58" si="20">I51*K51</f>
        <v>131161.82999999999</v>
      </c>
    </row>
    <row r="52" spans="1:31" x14ac:dyDescent="0.25">
      <c r="A52" s="837"/>
      <c r="B52" s="834"/>
      <c r="C52" s="408" t="s">
        <v>28</v>
      </c>
      <c r="D52" s="403" t="s">
        <v>24</v>
      </c>
      <c r="E52" s="11">
        <v>15</v>
      </c>
      <c r="F52" s="691">
        <f>15-5</f>
        <v>10</v>
      </c>
      <c r="G52" s="11">
        <f>((E52*8)+(F52*4))/12-1</f>
        <v>12.333333333333334</v>
      </c>
      <c r="H52" s="418">
        <f>20</f>
        <v>20</v>
      </c>
      <c r="I52" s="418">
        <f>20</f>
        <v>20</v>
      </c>
      <c r="J52" s="151">
        <f t="shared" si="17"/>
        <v>148317.25</v>
      </c>
      <c r="K52" s="13">
        <v>148317.25</v>
      </c>
      <c r="L52" s="12" t="s">
        <v>26</v>
      </c>
      <c r="M52" s="418" t="s">
        <v>26</v>
      </c>
      <c r="N52" s="13">
        <f t="shared" si="18"/>
        <v>1829246.0833333335</v>
      </c>
      <c r="O52" s="13">
        <f>G52*K52</f>
        <v>1829246.0833333335</v>
      </c>
      <c r="P52" s="12" t="s">
        <v>26</v>
      </c>
      <c r="Q52" s="12"/>
      <c r="R52" s="418" t="s">
        <v>26</v>
      </c>
      <c r="S52" s="10"/>
      <c r="T52" s="150">
        <f t="shared" si="19"/>
        <v>2966345</v>
      </c>
      <c r="U52" s="150">
        <f t="shared" si="20"/>
        <v>2966345</v>
      </c>
    </row>
    <row r="53" spans="1:31" x14ac:dyDescent="0.25">
      <c r="A53" s="837"/>
      <c r="B53" s="834"/>
      <c r="C53" s="408" t="s">
        <v>29</v>
      </c>
      <c r="D53" s="403" t="s">
        <v>24</v>
      </c>
      <c r="E53" s="11">
        <v>1</v>
      </c>
      <c r="F53" s="691">
        <v>1</v>
      </c>
      <c r="G53" s="11">
        <f>((E53*8)+(F53*4))/12</f>
        <v>1</v>
      </c>
      <c r="H53" s="418">
        <v>1</v>
      </c>
      <c r="I53" s="418">
        <v>1</v>
      </c>
      <c r="J53" s="151">
        <f t="shared" si="17"/>
        <v>175051.01</v>
      </c>
      <c r="K53" s="13">
        <v>175051.01</v>
      </c>
      <c r="L53" s="12" t="s">
        <v>26</v>
      </c>
      <c r="M53" s="418" t="s">
        <v>26</v>
      </c>
      <c r="N53" s="13">
        <f t="shared" si="18"/>
        <v>175051.01</v>
      </c>
      <c r="O53" s="13">
        <f>G53*K53</f>
        <v>175051.01</v>
      </c>
      <c r="P53" s="12" t="s">
        <v>26</v>
      </c>
      <c r="Q53" s="12"/>
      <c r="R53" s="418" t="s">
        <v>26</v>
      </c>
      <c r="S53" s="10"/>
      <c r="T53" s="150">
        <f t="shared" si="19"/>
        <v>175051.01</v>
      </c>
      <c r="U53" s="150">
        <f t="shared" si="20"/>
        <v>175051.01</v>
      </c>
    </row>
    <row r="54" spans="1:31" x14ac:dyDescent="0.25">
      <c r="A54" s="837"/>
      <c r="B54" s="834"/>
      <c r="C54" s="408" t="s">
        <v>30</v>
      </c>
      <c r="D54" s="403" t="s">
        <v>24</v>
      </c>
      <c r="E54" s="11">
        <v>15</v>
      </c>
      <c r="F54" s="691">
        <f>15+2</f>
        <v>17</v>
      </c>
      <c r="G54" s="11">
        <f t="shared" ref="G54:G78" si="21">((E54*8)+(F54*4))/12</f>
        <v>15.666666666666666</v>
      </c>
      <c r="H54" s="418">
        <v>15</v>
      </c>
      <c r="I54" s="418">
        <v>15</v>
      </c>
      <c r="J54" s="151">
        <f t="shared" si="17"/>
        <v>146008.26</v>
      </c>
      <c r="K54" s="151">
        <v>146008.26</v>
      </c>
      <c r="L54" s="12" t="s">
        <v>26</v>
      </c>
      <c r="M54" s="418" t="s">
        <v>26</v>
      </c>
      <c r="N54" s="13">
        <f>O54</f>
        <v>2287462.7400000002</v>
      </c>
      <c r="O54" s="13">
        <f t="shared" ref="O54:O58" si="22">G54*K54</f>
        <v>2287462.7400000002</v>
      </c>
      <c r="P54" s="12" t="s">
        <v>26</v>
      </c>
      <c r="Q54" s="12"/>
      <c r="R54" s="418" t="s">
        <v>26</v>
      </c>
      <c r="S54" s="10"/>
      <c r="T54" s="150">
        <f t="shared" si="19"/>
        <v>2190123.9000000004</v>
      </c>
      <c r="U54" s="150">
        <f t="shared" si="20"/>
        <v>2190123.9000000004</v>
      </c>
    </row>
    <row r="55" spans="1:31" x14ac:dyDescent="0.25">
      <c r="A55" s="837"/>
      <c r="B55" s="834"/>
      <c r="C55" s="408" t="s">
        <v>31</v>
      </c>
      <c r="D55" s="403" t="s">
        <v>24</v>
      </c>
      <c r="E55" s="11">
        <v>0</v>
      </c>
      <c r="F55" s="691">
        <v>1</v>
      </c>
      <c r="G55" s="11">
        <v>1</v>
      </c>
      <c r="H55" s="418">
        <v>0</v>
      </c>
      <c r="I55" s="418">
        <v>0</v>
      </c>
      <c r="J55" s="151">
        <f t="shared" si="17"/>
        <v>165472.68</v>
      </c>
      <c r="K55" s="151">
        <v>165472.68</v>
      </c>
      <c r="L55" s="12" t="s">
        <v>26</v>
      </c>
      <c r="M55" s="418" t="s">
        <v>26</v>
      </c>
      <c r="N55" s="13">
        <f t="shared" si="18"/>
        <v>165472.68</v>
      </c>
      <c r="O55" s="13">
        <f t="shared" si="22"/>
        <v>165472.68</v>
      </c>
      <c r="P55" s="12" t="s">
        <v>26</v>
      </c>
      <c r="Q55" s="12"/>
      <c r="R55" s="418" t="s">
        <v>26</v>
      </c>
      <c r="S55" s="10"/>
      <c r="T55" s="150">
        <f t="shared" si="19"/>
        <v>0</v>
      </c>
      <c r="U55" s="150">
        <f t="shared" si="20"/>
        <v>0</v>
      </c>
    </row>
    <row r="56" spans="1:31" x14ac:dyDescent="0.25">
      <c r="A56" s="837"/>
      <c r="B56" s="834"/>
      <c r="C56" s="408" t="s">
        <v>33</v>
      </c>
      <c r="D56" s="403" t="s">
        <v>24</v>
      </c>
      <c r="E56" s="11">
        <f>0</f>
        <v>0</v>
      </c>
      <c r="F56" s="691">
        <f>0</f>
        <v>0</v>
      </c>
      <c r="G56" s="11">
        <f t="shared" si="21"/>
        <v>0</v>
      </c>
      <c r="H56" s="418">
        <f>0</f>
        <v>0</v>
      </c>
      <c r="I56" s="418">
        <f>0</f>
        <v>0</v>
      </c>
      <c r="J56" s="151">
        <f t="shared" si="17"/>
        <v>188155.03</v>
      </c>
      <c r="K56" s="151">
        <v>188155.03</v>
      </c>
      <c r="L56" s="12" t="s">
        <v>26</v>
      </c>
      <c r="M56" s="418" t="s">
        <v>26</v>
      </c>
      <c r="N56" s="13">
        <f t="shared" si="18"/>
        <v>0</v>
      </c>
      <c r="O56" s="13">
        <f t="shared" si="22"/>
        <v>0</v>
      </c>
      <c r="P56" s="12" t="s">
        <v>26</v>
      </c>
      <c r="Q56" s="12"/>
      <c r="R56" s="418" t="s">
        <v>26</v>
      </c>
      <c r="S56" s="10"/>
      <c r="T56" s="150">
        <f t="shared" si="19"/>
        <v>0</v>
      </c>
      <c r="U56" s="150">
        <f t="shared" si="20"/>
        <v>0</v>
      </c>
    </row>
    <row r="57" spans="1:31" x14ac:dyDescent="0.25">
      <c r="A57" s="837"/>
      <c r="B57" s="834"/>
      <c r="C57" s="408" t="s">
        <v>52</v>
      </c>
      <c r="D57" s="403" t="s">
        <v>24</v>
      </c>
      <c r="E57" s="11">
        <v>8</v>
      </c>
      <c r="F57" s="691">
        <f>8-1</f>
        <v>7</v>
      </c>
      <c r="G57" s="11">
        <f t="shared" si="21"/>
        <v>7.666666666666667</v>
      </c>
      <c r="H57" s="418">
        <v>8</v>
      </c>
      <c r="I57" s="418">
        <v>8</v>
      </c>
      <c r="J57" s="151">
        <f t="shared" si="17"/>
        <v>340458.04</v>
      </c>
      <c r="K57" s="151">
        <v>340458.04</v>
      </c>
      <c r="L57" s="12" t="s">
        <v>26</v>
      </c>
      <c r="M57" s="418" t="s">
        <v>26</v>
      </c>
      <c r="N57" s="13">
        <f t="shared" si="18"/>
        <v>2610178.3066666666</v>
      </c>
      <c r="O57" s="13">
        <f t="shared" si="22"/>
        <v>2610178.3066666666</v>
      </c>
      <c r="P57" s="12"/>
      <c r="Q57" s="12"/>
      <c r="R57" s="418"/>
      <c r="S57" s="10"/>
      <c r="T57" s="150">
        <f t="shared" si="19"/>
        <v>2723664.32</v>
      </c>
      <c r="U57" s="150">
        <f t="shared" si="20"/>
        <v>2723664.32</v>
      </c>
    </row>
    <row r="58" spans="1:31" x14ac:dyDescent="0.25">
      <c r="A58" s="837"/>
      <c r="B58" s="834"/>
      <c r="C58" s="408" t="s">
        <v>34</v>
      </c>
      <c r="D58" s="403" t="s">
        <v>24</v>
      </c>
      <c r="E58" s="10"/>
      <c r="F58" s="10"/>
      <c r="G58" s="11"/>
      <c r="H58" s="418"/>
      <c r="I58" s="418"/>
      <c r="J58" s="151">
        <f t="shared" si="17"/>
        <v>129594.64</v>
      </c>
      <c r="K58" s="151">
        <v>129594.64</v>
      </c>
      <c r="L58" s="12" t="s">
        <v>26</v>
      </c>
      <c r="M58" s="418" t="s">
        <v>26</v>
      </c>
      <c r="N58" s="13">
        <f t="shared" si="18"/>
        <v>0</v>
      </c>
      <c r="O58" s="13">
        <f t="shared" si="22"/>
        <v>0</v>
      </c>
      <c r="P58" s="12" t="s">
        <v>26</v>
      </c>
      <c r="Q58" s="12"/>
      <c r="R58" s="418" t="s">
        <v>26</v>
      </c>
      <c r="S58" s="10"/>
      <c r="T58" s="150">
        <f t="shared" si="19"/>
        <v>0</v>
      </c>
      <c r="U58" s="150">
        <f t="shared" si="20"/>
        <v>0</v>
      </c>
    </row>
    <row r="59" spans="1:31" ht="82.95" customHeight="1" x14ac:dyDescent="0.25">
      <c r="A59" s="837"/>
      <c r="B59" s="834"/>
      <c r="C59" s="408" t="s">
        <v>35</v>
      </c>
      <c r="D59" s="19" t="s">
        <v>24</v>
      </c>
      <c r="E59" s="11">
        <v>2</v>
      </c>
      <c r="F59" s="691">
        <f>2+3</f>
        <v>5</v>
      </c>
      <c r="G59" s="11">
        <f t="shared" si="21"/>
        <v>3</v>
      </c>
      <c r="H59" s="418">
        <v>3</v>
      </c>
      <c r="I59" s="418">
        <v>3</v>
      </c>
      <c r="J59" s="151">
        <f>SUM(K59:M59)</f>
        <v>317395.39</v>
      </c>
      <c r="K59" s="151">
        <f>278803.34+2198.86</f>
        <v>281002.2</v>
      </c>
      <c r="L59" s="387">
        <v>13199.12</v>
      </c>
      <c r="M59" s="484">
        <v>23194.07</v>
      </c>
      <c r="N59" s="13">
        <f>SUM(O59:R59)</f>
        <v>952186.17</v>
      </c>
      <c r="O59" s="13">
        <f>G59*K59</f>
        <v>843006.60000000009</v>
      </c>
      <c r="P59" s="484">
        <f>G59*L59</f>
        <v>39597.360000000001</v>
      </c>
      <c r="Q59" s="13"/>
      <c r="R59" s="151">
        <f>G59*M59</f>
        <v>69582.209999999992</v>
      </c>
      <c r="S59" s="150"/>
      <c r="T59" s="150">
        <f>W59</f>
        <v>952186.17</v>
      </c>
      <c r="U59" s="150">
        <f>AB59</f>
        <v>952186.17</v>
      </c>
      <c r="W59" s="454">
        <f>SUM(X59:AA59)</f>
        <v>952186.17</v>
      </c>
      <c r="X59" s="398">
        <f>H59*K59</f>
        <v>843006.60000000009</v>
      </c>
      <c r="Y59" s="14">
        <f>H59*L59</f>
        <v>39597.360000000001</v>
      </c>
      <c r="Z59" s="398">
        <f>H59*M59</f>
        <v>69582.209999999992</v>
      </c>
      <c r="AB59" s="454">
        <f>SUM(AC59:AF59)</f>
        <v>952186.17</v>
      </c>
      <c r="AC59" s="398">
        <f>I59*K59</f>
        <v>843006.60000000009</v>
      </c>
      <c r="AD59" s="14">
        <f>I59*L59</f>
        <v>39597.360000000001</v>
      </c>
      <c r="AE59" s="398">
        <f>I59*M59</f>
        <v>69582.209999999992</v>
      </c>
    </row>
    <row r="60" spans="1:31" ht="19.5" customHeight="1" x14ac:dyDescent="0.25">
      <c r="A60" s="837"/>
      <c r="B60" s="834"/>
      <c r="C60" s="419" t="s">
        <v>36</v>
      </c>
      <c r="D60" s="403" t="s">
        <v>37</v>
      </c>
      <c r="E60" s="11">
        <v>11</v>
      </c>
      <c r="F60" s="11">
        <v>11</v>
      </c>
      <c r="G60" s="11">
        <f t="shared" si="21"/>
        <v>11</v>
      </c>
      <c r="H60" s="418">
        <v>11</v>
      </c>
      <c r="I60" s="418">
        <v>11</v>
      </c>
      <c r="J60" s="151">
        <f>SUM(K60:M60)</f>
        <v>234360</v>
      </c>
      <c r="K60" s="151">
        <f>10000*1.5*1.302*12</f>
        <v>234360</v>
      </c>
      <c r="L60" s="387"/>
      <c r="M60" s="14"/>
      <c r="N60" s="14">
        <f>SUM(O60:R60)</f>
        <v>2577960</v>
      </c>
      <c r="O60" s="484">
        <f>G60*K60</f>
        <v>2577960</v>
      </c>
      <c r="P60" s="13"/>
      <c r="Q60" s="13"/>
      <c r="R60" s="151"/>
      <c r="S60" s="150"/>
      <c r="T60" s="150">
        <f>H60*K60-2577960</f>
        <v>0</v>
      </c>
      <c r="U60" s="150">
        <f>I60*K60-2577960</f>
        <v>0</v>
      </c>
    </row>
    <row r="61" spans="1:31" ht="24" customHeight="1" x14ac:dyDescent="0.25">
      <c r="A61" s="837"/>
      <c r="B61" s="835"/>
      <c r="C61" s="420" t="s">
        <v>38</v>
      </c>
      <c r="D61" s="403"/>
      <c r="E61" s="612">
        <f>E49+E59</f>
        <v>234</v>
      </c>
      <c r="F61" s="694">
        <f>F49+F59</f>
        <v>204</v>
      </c>
      <c r="G61" s="612">
        <f>G49+G59</f>
        <v>224</v>
      </c>
      <c r="H61" s="615">
        <f>H49+H59</f>
        <v>248</v>
      </c>
      <c r="I61" s="615">
        <f>I49+I59</f>
        <v>248</v>
      </c>
      <c r="J61" s="14" t="s">
        <v>26</v>
      </c>
      <c r="K61" s="13" t="s">
        <v>26</v>
      </c>
      <c r="L61" s="13" t="s">
        <v>26</v>
      </c>
      <c r="M61" s="14" t="s">
        <v>26</v>
      </c>
      <c r="N61" s="421">
        <f>SUM(N49:N60)</f>
        <v>27718986.659999996</v>
      </c>
      <c r="O61" s="421">
        <f t="shared" ref="O61:U61" si="23">SUM(O49:O60)</f>
        <v>17358028.149999999</v>
      </c>
      <c r="P61" s="421">
        <f t="shared" si="23"/>
        <v>5165486.83</v>
      </c>
      <c r="Q61" s="421">
        <f t="shared" si="23"/>
        <v>0</v>
      </c>
      <c r="R61" s="801">
        <f>SUM(R49:R60)</f>
        <v>5195471.68</v>
      </c>
      <c r="S61" s="421">
        <f t="shared" si="23"/>
        <v>0</v>
      </c>
      <c r="T61" s="421">
        <f t="shared" si="23"/>
        <v>25525134.280000009</v>
      </c>
      <c r="U61" s="421">
        <f t="shared" si="23"/>
        <v>25525134.280000009</v>
      </c>
    </row>
    <row r="62" spans="1:31" ht="76.95" customHeight="1" x14ac:dyDescent="0.25">
      <c r="A62" s="837"/>
      <c r="B62" s="833" t="s">
        <v>314</v>
      </c>
      <c r="C62" s="22" t="s">
        <v>23</v>
      </c>
      <c r="D62" s="19" t="s">
        <v>24</v>
      </c>
      <c r="E62" s="707">
        <f>209+1</f>
        <v>210</v>
      </c>
      <c r="F62" s="691">
        <v>192</v>
      </c>
      <c r="G62" s="11">
        <f>((E62*8)+(F62*4))/12</f>
        <v>204</v>
      </c>
      <c r="H62" s="418">
        <v>287</v>
      </c>
      <c r="I62" s="418">
        <v>287</v>
      </c>
      <c r="J62" s="14">
        <f>SUM(K62:M62)</f>
        <v>82511.170000000013</v>
      </c>
      <c r="K62" s="387">
        <f>43367.41+2750.57</f>
        <v>46117.98</v>
      </c>
      <c r="L62" s="387">
        <v>13199.12</v>
      </c>
      <c r="M62" s="484">
        <v>23194.07</v>
      </c>
      <c r="N62" s="430">
        <f>SUM(O62:R62)</f>
        <v>16832278.68</v>
      </c>
      <c r="O62" s="430">
        <f>G62*K62</f>
        <v>9408067.9199999999</v>
      </c>
      <c r="P62" s="484">
        <f>G62*L62</f>
        <v>2692620.48</v>
      </c>
      <c r="Q62" s="430"/>
      <c r="R62" s="151">
        <f>G62*M62</f>
        <v>4731590.28</v>
      </c>
      <c r="S62" s="150"/>
      <c r="T62" s="150">
        <f>W62</f>
        <v>23680705.790000003</v>
      </c>
      <c r="U62" s="150">
        <f>T62</f>
        <v>23680705.790000003</v>
      </c>
      <c r="W62" s="454">
        <f>SUM(X62:AA62)</f>
        <v>23680705.790000003</v>
      </c>
      <c r="X62" s="398">
        <f>H62*K62</f>
        <v>13235860.260000002</v>
      </c>
      <c r="Y62" s="14">
        <f>H62*L62</f>
        <v>3788147.4400000004</v>
      </c>
      <c r="Z62" s="398">
        <f>H62*M62</f>
        <v>6656698.0899999999</v>
      </c>
      <c r="AB62" s="454">
        <f>SUM(AC62:AF62)</f>
        <v>23680705.790000003</v>
      </c>
      <c r="AC62" s="398">
        <f>I62*K62</f>
        <v>13235860.260000002</v>
      </c>
      <c r="AD62" s="14">
        <f>I62*L62</f>
        <v>3788147.4400000004</v>
      </c>
      <c r="AE62" s="398">
        <f>I62*M62</f>
        <v>6656698.0899999999</v>
      </c>
    </row>
    <row r="63" spans="1:31" ht="94.95" customHeight="1" x14ac:dyDescent="0.25">
      <c r="A63" s="837"/>
      <c r="B63" s="834"/>
      <c r="C63" s="22" t="s">
        <v>63</v>
      </c>
      <c r="D63" s="19" t="s">
        <v>24</v>
      </c>
      <c r="E63" s="715">
        <f>44-1</f>
        <v>43</v>
      </c>
      <c r="F63" s="699">
        <v>94</v>
      </c>
      <c r="G63" s="758">
        <f>((E63*8)+(F63*4))/12</f>
        <v>60</v>
      </c>
      <c r="H63" s="758">
        <v>89</v>
      </c>
      <c r="I63" s="758">
        <v>130</v>
      </c>
      <c r="J63" s="14">
        <f>SUM(K63:M63)</f>
        <v>86274.91</v>
      </c>
      <c r="K63" s="387">
        <f>47131.15+2750.57</f>
        <v>49881.72</v>
      </c>
      <c r="L63" s="387">
        <v>13199.12</v>
      </c>
      <c r="M63" s="484">
        <v>23194.07</v>
      </c>
      <c r="N63" s="568">
        <f>SUM(O63:R63)</f>
        <v>5176494.6000000006</v>
      </c>
      <c r="O63" s="568">
        <f>G63*K63</f>
        <v>2992903.2</v>
      </c>
      <c r="P63" s="14">
        <f>G63*L63</f>
        <v>791947.20000000007</v>
      </c>
      <c r="Q63" s="568"/>
      <c r="R63" s="151">
        <f>G63*M63</f>
        <v>1391644.2</v>
      </c>
      <c r="S63" s="150"/>
      <c r="T63" s="150">
        <f>W63</f>
        <v>7678466.9900000002</v>
      </c>
      <c r="U63" s="150">
        <f>AB63</f>
        <v>11215738.300000001</v>
      </c>
      <c r="W63" s="454">
        <f>SUM(X63:AA63)</f>
        <v>7678466.9900000002</v>
      </c>
      <c r="X63" s="398">
        <f>H63*K63</f>
        <v>4439473.08</v>
      </c>
      <c r="Y63" s="14">
        <f>H63*L63</f>
        <v>1174721.6800000002</v>
      </c>
      <c r="Z63" s="398">
        <f>H63*M63</f>
        <v>2064272.23</v>
      </c>
      <c r="AB63" s="454">
        <f>SUM(AC63:AF63)</f>
        <v>11215738.300000001</v>
      </c>
      <c r="AC63" s="398">
        <f>I63*K63</f>
        <v>6484623.6000000006</v>
      </c>
      <c r="AD63" s="14">
        <f>I63*L63</f>
        <v>1715885.6</v>
      </c>
      <c r="AE63" s="398">
        <f>I63*M63</f>
        <v>3015229.1</v>
      </c>
    </row>
    <row r="64" spans="1:31" ht="82.8" x14ac:dyDescent="0.25">
      <c r="A64" s="837"/>
      <c r="B64" s="834"/>
      <c r="C64" s="408" t="s">
        <v>39</v>
      </c>
      <c r="D64" s="19" t="s">
        <v>24</v>
      </c>
      <c r="E64" s="11" t="s">
        <v>26</v>
      </c>
      <c r="F64" s="11" t="s">
        <v>26</v>
      </c>
      <c r="G64" s="11" t="s">
        <v>26</v>
      </c>
      <c r="H64" s="418" t="s">
        <v>26</v>
      </c>
      <c r="I64" s="418" t="s">
        <v>26</v>
      </c>
      <c r="J64" s="429" t="s">
        <v>26</v>
      </c>
      <c r="K64" s="429"/>
      <c r="L64" s="429" t="s">
        <v>26</v>
      </c>
      <c r="M64" s="418" t="s">
        <v>26</v>
      </c>
      <c r="N64" s="430"/>
      <c r="O64" s="430"/>
      <c r="P64" s="429" t="s">
        <v>26</v>
      </c>
      <c r="Q64" s="429"/>
      <c r="R64" s="418" t="s">
        <v>26</v>
      </c>
      <c r="S64" s="10"/>
      <c r="T64" s="150"/>
      <c r="U64" s="150"/>
    </row>
    <row r="65" spans="1:31" x14ac:dyDescent="0.25">
      <c r="A65" s="837"/>
      <c r="B65" s="834"/>
      <c r="C65" s="388" t="s">
        <v>29</v>
      </c>
      <c r="D65" s="19" t="s">
        <v>24</v>
      </c>
      <c r="E65" s="11">
        <v>1</v>
      </c>
      <c r="F65" s="691">
        <f>1-1</f>
        <v>0</v>
      </c>
      <c r="G65" s="11">
        <v>0</v>
      </c>
      <c r="H65" s="418">
        <v>0</v>
      </c>
      <c r="I65" s="418">
        <v>0</v>
      </c>
      <c r="J65" s="151">
        <f t="shared" ref="J65:J70" si="24">K65</f>
        <v>114206.08</v>
      </c>
      <c r="K65" s="430">
        <v>114206.08</v>
      </c>
      <c r="L65" s="429" t="s">
        <v>26</v>
      </c>
      <c r="M65" s="418" t="s">
        <v>26</v>
      </c>
      <c r="N65" s="430">
        <f t="shared" ref="N65:N70" si="25">O65</f>
        <v>0</v>
      </c>
      <c r="O65" s="430">
        <f>G65*K65</f>
        <v>0</v>
      </c>
      <c r="P65" s="429"/>
      <c r="Q65" s="429"/>
      <c r="R65" s="418"/>
      <c r="S65" s="10"/>
      <c r="T65" s="150">
        <f t="shared" ref="T65:T70" si="26">H65*K65</f>
        <v>0</v>
      </c>
      <c r="U65" s="150">
        <f t="shared" ref="U65:U70" si="27">I65*K65</f>
        <v>0</v>
      </c>
    </row>
    <row r="66" spans="1:31" x14ac:dyDescent="0.25">
      <c r="A66" s="837"/>
      <c r="B66" s="834"/>
      <c r="C66" s="388" t="s">
        <v>31</v>
      </c>
      <c r="D66" s="19" t="s">
        <v>24</v>
      </c>
      <c r="E66" s="11">
        <v>1</v>
      </c>
      <c r="F66" s="691">
        <f>1-1</f>
        <v>0</v>
      </c>
      <c r="G66" s="11">
        <v>1</v>
      </c>
      <c r="H66" s="418">
        <v>1</v>
      </c>
      <c r="I66" s="418">
        <v>1</v>
      </c>
      <c r="J66" s="151">
        <f t="shared" si="24"/>
        <v>279371.78999999998</v>
      </c>
      <c r="K66" s="430">
        <v>279371.78999999998</v>
      </c>
      <c r="L66" s="429" t="s">
        <v>26</v>
      </c>
      <c r="M66" s="418" t="s">
        <v>26</v>
      </c>
      <c r="N66" s="430">
        <f t="shared" si="25"/>
        <v>279371.78999999998</v>
      </c>
      <c r="O66" s="430">
        <f t="shared" ref="O66:O70" si="28">G66*K66</f>
        <v>279371.78999999998</v>
      </c>
      <c r="P66" s="429"/>
      <c r="Q66" s="429"/>
      <c r="R66" s="418"/>
      <c r="S66" s="10"/>
      <c r="T66" s="150">
        <f t="shared" si="26"/>
        <v>279371.78999999998</v>
      </c>
      <c r="U66" s="150">
        <f t="shared" si="27"/>
        <v>279371.78999999998</v>
      </c>
    </row>
    <row r="67" spans="1:31" x14ac:dyDescent="0.25">
      <c r="A67" s="837"/>
      <c r="B67" s="834"/>
      <c r="C67" s="388" t="s">
        <v>32</v>
      </c>
      <c r="D67" s="19" t="s">
        <v>24</v>
      </c>
      <c r="E67" s="613"/>
      <c r="F67" s="613"/>
      <c r="G67" s="11">
        <v>0</v>
      </c>
      <c r="H67" s="447">
        <v>0</v>
      </c>
      <c r="I67" s="447">
        <v>0</v>
      </c>
      <c r="J67" s="151">
        <f t="shared" si="24"/>
        <v>205846.02</v>
      </c>
      <c r="K67" s="151">
        <v>205846.02</v>
      </c>
      <c r="L67" s="429" t="s">
        <v>26</v>
      </c>
      <c r="M67" s="418" t="s">
        <v>26</v>
      </c>
      <c r="N67" s="430">
        <f t="shared" si="25"/>
        <v>0</v>
      </c>
      <c r="O67" s="430">
        <f t="shared" si="28"/>
        <v>0</v>
      </c>
      <c r="P67" s="429" t="s">
        <v>26</v>
      </c>
      <c r="Q67" s="429"/>
      <c r="R67" s="418" t="s">
        <v>26</v>
      </c>
      <c r="S67" s="10"/>
      <c r="T67" s="150">
        <f t="shared" si="26"/>
        <v>0</v>
      </c>
      <c r="U67" s="150">
        <f t="shared" si="27"/>
        <v>0</v>
      </c>
    </row>
    <row r="68" spans="1:31" x14ac:dyDescent="0.25">
      <c r="A68" s="837"/>
      <c r="B68" s="834"/>
      <c r="C68" s="388" t="s">
        <v>33</v>
      </c>
      <c r="D68" s="19" t="s">
        <v>24</v>
      </c>
      <c r="E68" s="613">
        <v>2</v>
      </c>
      <c r="F68" s="695">
        <v>2</v>
      </c>
      <c r="G68" s="11">
        <v>0</v>
      </c>
      <c r="H68" s="447">
        <v>2</v>
      </c>
      <c r="I68" s="447">
        <v>2</v>
      </c>
      <c r="J68" s="151">
        <f t="shared" si="24"/>
        <v>26993.01</v>
      </c>
      <c r="K68" s="151">
        <v>26993.01</v>
      </c>
      <c r="L68" s="429" t="s">
        <v>26</v>
      </c>
      <c r="M68" s="418" t="s">
        <v>26</v>
      </c>
      <c r="N68" s="430">
        <f t="shared" si="25"/>
        <v>0</v>
      </c>
      <c r="O68" s="430">
        <f t="shared" si="28"/>
        <v>0</v>
      </c>
      <c r="P68" s="429" t="s">
        <v>26</v>
      </c>
      <c r="Q68" s="429"/>
      <c r="R68" s="418" t="s">
        <v>26</v>
      </c>
      <c r="S68" s="10"/>
      <c r="T68" s="150">
        <f t="shared" si="26"/>
        <v>53986.02</v>
      </c>
      <c r="U68" s="150">
        <f t="shared" si="27"/>
        <v>53986.02</v>
      </c>
    </row>
    <row r="69" spans="1:31" x14ac:dyDescent="0.25">
      <c r="A69" s="837"/>
      <c r="B69" s="834"/>
      <c r="C69" s="723" t="s">
        <v>52</v>
      </c>
      <c r="D69" s="19" t="s">
        <v>24</v>
      </c>
      <c r="E69" s="613">
        <v>3</v>
      </c>
      <c r="F69" s="695">
        <v>3</v>
      </c>
      <c r="G69" s="11">
        <v>3</v>
      </c>
      <c r="H69" s="447">
        <v>3</v>
      </c>
      <c r="I69" s="447">
        <v>3</v>
      </c>
      <c r="J69" s="151">
        <f t="shared" si="24"/>
        <v>411382.45</v>
      </c>
      <c r="K69" s="151">
        <v>411382.45</v>
      </c>
      <c r="L69" s="718"/>
      <c r="M69" s="418"/>
      <c r="N69" s="808">
        <f t="shared" si="25"/>
        <v>1234147.3500000001</v>
      </c>
      <c r="O69" s="808">
        <f t="shared" si="28"/>
        <v>1234147.3500000001</v>
      </c>
      <c r="P69" s="718"/>
      <c r="Q69" s="718"/>
      <c r="R69" s="418"/>
      <c r="S69" s="10"/>
      <c r="T69" s="150">
        <f t="shared" si="26"/>
        <v>1234147.3500000001</v>
      </c>
      <c r="U69" s="150">
        <f t="shared" si="27"/>
        <v>1234147.3500000001</v>
      </c>
    </row>
    <row r="70" spans="1:31" x14ac:dyDescent="0.25">
      <c r="A70" s="837"/>
      <c r="B70" s="834"/>
      <c r="C70" s="388" t="s">
        <v>34</v>
      </c>
      <c r="D70" s="19" t="s">
        <v>24</v>
      </c>
      <c r="E70" s="613">
        <f>2-1</f>
        <v>1</v>
      </c>
      <c r="F70" s="695">
        <f>2+2-3</f>
        <v>1</v>
      </c>
      <c r="G70" s="11">
        <v>1</v>
      </c>
      <c r="H70" s="447">
        <v>1</v>
      </c>
      <c r="I70" s="447">
        <v>1</v>
      </c>
      <c r="J70" s="151">
        <f t="shared" si="24"/>
        <v>19898.91</v>
      </c>
      <c r="K70" s="151">
        <v>19898.91</v>
      </c>
      <c r="L70" s="429" t="s">
        <v>26</v>
      </c>
      <c r="M70" s="418" t="s">
        <v>26</v>
      </c>
      <c r="N70" s="430">
        <f t="shared" si="25"/>
        <v>19898.91</v>
      </c>
      <c r="O70" s="430">
        <f t="shared" si="28"/>
        <v>19898.91</v>
      </c>
      <c r="P70" s="429" t="s">
        <v>26</v>
      </c>
      <c r="Q70" s="429"/>
      <c r="R70" s="418" t="s">
        <v>26</v>
      </c>
      <c r="S70" s="10"/>
      <c r="T70" s="150">
        <f t="shared" si="26"/>
        <v>19898.91</v>
      </c>
      <c r="U70" s="150">
        <f t="shared" si="27"/>
        <v>19898.91</v>
      </c>
    </row>
    <row r="71" spans="1:31" ht="82.95" customHeight="1" x14ac:dyDescent="0.25">
      <c r="A71" s="837"/>
      <c r="B71" s="835"/>
      <c r="C71" s="611" t="s">
        <v>35</v>
      </c>
      <c r="D71" s="19" t="s">
        <v>24</v>
      </c>
      <c r="E71" s="705">
        <f>3-1</f>
        <v>2</v>
      </c>
      <c r="F71" s="695">
        <f>3+2</f>
        <v>5</v>
      </c>
      <c r="G71" s="11">
        <f t="shared" si="21"/>
        <v>3</v>
      </c>
      <c r="H71" s="447">
        <v>1</v>
      </c>
      <c r="I71" s="447">
        <v>1</v>
      </c>
      <c r="J71" s="151">
        <f>SUM(K71:M71)</f>
        <v>353771.18</v>
      </c>
      <c r="K71" s="151">
        <f>314627.42+2750.57</f>
        <v>317377.99</v>
      </c>
      <c r="L71" s="387">
        <v>13199.12</v>
      </c>
      <c r="M71" s="484">
        <v>23194.07</v>
      </c>
      <c r="N71" s="430">
        <f>SUM(O71:R71)</f>
        <v>1061313.54</v>
      </c>
      <c r="O71" s="430">
        <f>G71*K71</f>
        <v>952133.97</v>
      </c>
      <c r="P71" s="484">
        <f>G71*L71</f>
        <v>39597.360000000001</v>
      </c>
      <c r="Q71" s="398"/>
      <c r="R71" s="151">
        <f>G71*M71</f>
        <v>69582.209999999992</v>
      </c>
      <c r="S71" s="150"/>
      <c r="T71" s="150">
        <f>W71</f>
        <v>353771.18</v>
      </c>
      <c r="U71" s="150">
        <f>AB71</f>
        <v>353771.18</v>
      </c>
      <c r="W71" s="454">
        <f>SUM(X71:AA71)</f>
        <v>353771.18</v>
      </c>
      <c r="X71" s="398">
        <f>H71*K71</f>
        <v>317377.99</v>
      </c>
      <c r="Y71" s="14">
        <f>H71*L71</f>
        <v>13199.12</v>
      </c>
      <c r="Z71" s="398">
        <f>H71*M71</f>
        <v>23194.07</v>
      </c>
      <c r="AB71" s="454">
        <f>SUM(AC71:AF71)</f>
        <v>353771.18</v>
      </c>
      <c r="AC71" s="398">
        <f>I71*K71</f>
        <v>317377.99</v>
      </c>
      <c r="AD71" s="14">
        <f>I71*L71</f>
        <v>13199.12</v>
      </c>
      <c r="AE71" s="398">
        <f>I71*M71</f>
        <v>23194.07</v>
      </c>
    </row>
    <row r="72" spans="1:31" ht="17.399999999999999" customHeight="1" x14ac:dyDescent="0.25">
      <c r="A72" s="837"/>
      <c r="B72" s="405"/>
      <c r="C72" s="389" t="s">
        <v>36</v>
      </c>
      <c r="D72" s="19" t="s">
        <v>37</v>
      </c>
      <c r="E72" s="613">
        <v>12</v>
      </c>
      <c r="F72" s="613">
        <v>12</v>
      </c>
      <c r="G72" s="11">
        <f t="shared" si="21"/>
        <v>12</v>
      </c>
      <c r="H72" s="447">
        <v>12</v>
      </c>
      <c r="I72" s="447">
        <v>12</v>
      </c>
      <c r="J72" s="151">
        <f>SUM(K72:M72)</f>
        <v>234360</v>
      </c>
      <c r="K72" s="151">
        <f>10000*1.5*1.302*12</f>
        <v>234360</v>
      </c>
      <c r="L72" s="387"/>
      <c r="M72" s="14"/>
      <c r="N72" s="14">
        <f>SUM(O72:R72)</f>
        <v>2812360</v>
      </c>
      <c r="O72" s="658">
        <f>G72*K72+40</f>
        <v>2812360</v>
      </c>
      <c r="P72" s="430"/>
      <c r="Q72" s="398"/>
      <c r="R72" s="151"/>
      <c r="S72" s="150"/>
      <c r="T72" s="150">
        <f>H72*K72-2812320</f>
        <v>0</v>
      </c>
      <c r="U72" s="150">
        <f>I72*K72-2812320</f>
        <v>0</v>
      </c>
    </row>
    <row r="73" spans="1:31" ht="24" customHeight="1" x14ac:dyDescent="0.25">
      <c r="A73" s="837"/>
      <c r="B73" s="405"/>
      <c r="C73" s="404" t="s">
        <v>38</v>
      </c>
      <c r="D73" s="19"/>
      <c r="E73" s="614">
        <f>E62+E63+E71</f>
        <v>255</v>
      </c>
      <c r="F73" s="704">
        <f>F62+F63+F71</f>
        <v>291</v>
      </c>
      <c r="G73" s="614">
        <f>G62+G63+G71</f>
        <v>267</v>
      </c>
      <c r="H73" s="614">
        <f>H62+H63+H71</f>
        <v>377</v>
      </c>
      <c r="I73" s="614">
        <f>I62+I63+I71</f>
        <v>418</v>
      </c>
      <c r="J73" s="398" t="s">
        <v>26</v>
      </c>
      <c r="K73" s="398" t="s">
        <v>26</v>
      </c>
      <c r="L73" s="398" t="s">
        <v>26</v>
      </c>
      <c r="M73" s="151" t="s">
        <v>26</v>
      </c>
      <c r="N73" s="416">
        <f>SUM(N62:N72)</f>
        <v>27415864.870000001</v>
      </c>
      <c r="O73" s="416">
        <f t="shared" ref="O73:U73" si="29">SUM(O62:O72)</f>
        <v>17698883.140000001</v>
      </c>
      <c r="P73" s="416">
        <f t="shared" si="29"/>
        <v>3524165.04</v>
      </c>
      <c r="Q73" s="416">
        <f t="shared" si="29"/>
        <v>0</v>
      </c>
      <c r="R73" s="653">
        <f>SUM(R62:R72)</f>
        <v>6192816.6900000004</v>
      </c>
      <c r="S73" s="416">
        <f t="shared" si="29"/>
        <v>0</v>
      </c>
      <c r="T73" s="416">
        <f t="shared" si="29"/>
        <v>33300348.030000001</v>
      </c>
      <c r="U73" s="416">
        <f t="shared" si="29"/>
        <v>36837619.340000004</v>
      </c>
    </row>
    <row r="74" spans="1:31" ht="69" x14ac:dyDescent="0.25">
      <c r="A74" s="837"/>
      <c r="B74" s="833" t="s">
        <v>313</v>
      </c>
      <c r="C74" s="22" t="s">
        <v>23</v>
      </c>
      <c r="D74" s="19" t="s">
        <v>24</v>
      </c>
      <c r="E74" s="613">
        <v>37</v>
      </c>
      <c r="F74" s="695">
        <v>38</v>
      </c>
      <c r="G74" s="448">
        <v>37</v>
      </c>
      <c r="H74" s="447">
        <v>41</v>
      </c>
      <c r="I74" s="447">
        <v>41</v>
      </c>
      <c r="J74" s="387">
        <f>SUM(K74:M74)</f>
        <v>89889.03</v>
      </c>
      <c r="K74" s="387">
        <f>50769.44+2726.4</f>
        <v>53495.840000000004</v>
      </c>
      <c r="L74" s="387">
        <v>13199.12</v>
      </c>
      <c r="M74" s="484">
        <v>23194.07</v>
      </c>
      <c r="N74" s="151">
        <f>SUM(O74:R74)</f>
        <v>3325894.11</v>
      </c>
      <c r="O74" s="398">
        <f>G74*K74</f>
        <v>1979346.08</v>
      </c>
      <c r="P74" s="484">
        <f>G74*L74</f>
        <v>488367.44</v>
      </c>
      <c r="Q74" s="398"/>
      <c r="R74" s="151">
        <f>G74*M74</f>
        <v>858180.59</v>
      </c>
      <c r="S74" s="150"/>
      <c r="T74" s="150">
        <f>W74</f>
        <v>3685450.23</v>
      </c>
      <c r="U74" s="150">
        <f>AB74</f>
        <v>3685450.23</v>
      </c>
      <c r="W74" s="454">
        <f>SUM(X74:AA74)</f>
        <v>3685450.23</v>
      </c>
      <c r="X74" s="398">
        <f>H74*K74</f>
        <v>2193329.44</v>
      </c>
      <c r="Y74" s="14">
        <f>H74*L74</f>
        <v>541163.92000000004</v>
      </c>
      <c r="Z74" s="398">
        <f>H74*M74</f>
        <v>950956.87</v>
      </c>
      <c r="AB74" s="454">
        <f>SUM(AC74:AF74)</f>
        <v>3685450.23</v>
      </c>
      <c r="AC74" s="398">
        <f>I74*K74</f>
        <v>2193329.44</v>
      </c>
      <c r="AD74" s="14">
        <f>I74*L74</f>
        <v>541163.92000000004</v>
      </c>
      <c r="AE74" s="398">
        <f>I74*M74</f>
        <v>950956.87</v>
      </c>
    </row>
    <row r="75" spans="1:31" ht="82.8" x14ac:dyDescent="0.25">
      <c r="A75" s="837"/>
      <c r="B75" s="834"/>
      <c r="C75" s="408" t="s">
        <v>39</v>
      </c>
      <c r="D75" s="19" t="s">
        <v>24</v>
      </c>
      <c r="E75" s="10" t="s">
        <v>26</v>
      </c>
      <c r="F75" s="10" t="s">
        <v>26</v>
      </c>
      <c r="G75" s="11" t="s">
        <v>26</v>
      </c>
      <c r="H75" s="418" t="s">
        <v>26</v>
      </c>
      <c r="I75" s="418" t="s">
        <v>26</v>
      </c>
      <c r="J75" s="429" t="s">
        <v>26</v>
      </c>
      <c r="K75" s="429" t="s">
        <v>26</v>
      </c>
      <c r="L75" s="429" t="s">
        <v>26</v>
      </c>
      <c r="M75" s="418" t="s">
        <v>26</v>
      </c>
      <c r="N75" s="430"/>
      <c r="O75" s="430"/>
      <c r="P75" s="429" t="s">
        <v>26</v>
      </c>
      <c r="Q75" s="429"/>
      <c r="R75" s="418" t="s">
        <v>26</v>
      </c>
      <c r="S75" s="10"/>
      <c r="T75" s="150"/>
      <c r="U75" s="150"/>
    </row>
    <row r="76" spans="1:31" x14ac:dyDescent="0.25">
      <c r="A76" s="837"/>
      <c r="B76" s="834"/>
      <c r="C76" s="408" t="s">
        <v>34</v>
      </c>
      <c r="D76" s="19" t="s">
        <v>24</v>
      </c>
      <c r="E76" s="414"/>
      <c r="F76" s="414"/>
      <c r="G76" s="11">
        <f t="shared" si="21"/>
        <v>0</v>
      </c>
      <c r="H76" s="447"/>
      <c r="I76" s="447"/>
      <c r="J76" s="151">
        <f>K76</f>
        <v>19898.91</v>
      </c>
      <c r="K76" s="151">
        <v>19898.91</v>
      </c>
      <c r="L76" s="429" t="s">
        <v>26</v>
      </c>
      <c r="M76" s="418" t="s">
        <v>26</v>
      </c>
      <c r="N76" s="430">
        <f>O76</f>
        <v>0</v>
      </c>
      <c r="O76" s="430">
        <f>G76*K76</f>
        <v>0</v>
      </c>
      <c r="P76" s="429" t="s">
        <v>26</v>
      </c>
      <c r="Q76" s="429"/>
      <c r="R76" s="418" t="s">
        <v>26</v>
      </c>
      <c r="S76" s="10"/>
      <c r="T76" s="150">
        <f>H76*K76</f>
        <v>0</v>
      </c>
      <c r="U76" s="150">
        <f>I76*K76</f>
        <v>0</v>
      </c>
    </row>
    <row r="77" spans="1:31" ht="82.95" customHeight="1" x14ac:dyDescent="0.25">
      <c r="A77" s="837"/>
      <c r="B77" s="835"/>
      <c r="C77" s="408" t="s">
        <v>35</v>
      </c>
      <c r="D77" s="19" t="s">
        <v>24</v>
      </c>
      <c r="E77" s="613">
        <v>0</v>
      </c>
      <c r="F77" s="695">
        <v>0</v>
      </c>
      <c r="G77" s="11">
        <f t="shared" si="21"/>
        <v>0</v>
      </c>
      <c r="H77" s="447">
        <v>1</v>
      </c>
      <c r="I77" s="447">
        <v>1</v>
      </c>
      <c r="J77" s="398">
        <f>K77</f>
        <v>351965.65</v>
      </c>
      <c r="K77" s="398">
        <f>349239.25+2726.4</f>
        <v>351965.65</v>
      </c>
      <c r="L77" s="387">
        <v>13199.12</v>
      </c>
      <c r="M77" s="484">
        <v>23194.07</v>
      </c>
      <c r="N77" s="430">
        <f>SUM(O77:R77)</f>
        <v>0</v>
      </c>
      <c r="O77" s="398">
        <f>G77*K77</f>
        <v>0</v>
      </c>
      <c r="P77" s="398">
        <f>G77*L77</f>
        <v>0</v>
      </c>
      <c r="Q77" s="398"/>
      <c r="R77" s="151">
        <f>G77*M77</f>
        <v>0</v>
      </c>
      <c r="S77" s="150"/>
      <c r="T77" s="150">
        <f>W77</f>
        <v>388358.84</v>
      </c>
      <c r="U77" s="150">
        <f>AB77</f>
        <v>388358.84</v>
      </c>
      <c r="W77" s="454">
        <f>SUM(X77:AA77)</f>
        <v>388358.84</v>
      </c>
      <c r="X77" s="398">
        <f>H77*K77</f>
        <v>351965.65</v>
      </c>
      <c r="Y77" s="14">
        <f>H77*L77</f>
        <v>13199.12</v>
      </c>
      <c r="Z77" s="398">
        <f>H77*M77</f>
        <v>23194.07</v>
      </c>
      <c r="AB77" s="454">
        <f>SUM(AC77:AF77)</f>
        <v>388358.84</v>
      </c>
      <c r="AC77" s="398">
        <f>I77*K77</f>
        <v>351965.65</v>
      </c>
      <c r="AD77" s="14">
        <f>I77*L77</f>
        <v>13199.12</v>
      </c>
      <c r="AE77" s="398">
        <f>I77*M77</f>
        <v>23194.07</v>
      </c>
    </row>
    <row r="78" spans="1:31" ht="17.399999999999999" customHeight="1" x14ac:dyDescent="0.25">
      <c r="A78" s="837"/>
      <c r="B78" s="405"/>
      <c r="C78" s="24" t="s">
        <v>36</v>
      </c>
      <c r="D78" s="19" t="s">
        <v>37</v>
      </c>
      <c r="E78" s="613">
        <v>2</v>
      </c>
      <c r="F78" s="613">
        <v>2</v>
      </c>
      <c r="G78" s="11">
        <f t="shared" si="21"/>
        <v>2</v>
      </c>
      <c r="H78" s="447">
        <v>2</v>
      </c>
      <c r="I78" s="447">
        <v>2</v>
      </c>
      <c r="J78" s="398">
        <f>K78</f>
        <v>234360</v>
      </c>
      <c r="K78" s="398">
        <f>10000*1.5*1.302*12</f>
        <v>234360</v>
      </c>
      <c r="L78" s="387"/>
      <c r="M78" s="14"/>
      <c r="N78" s="14">
        <f>SUM(O78:R78)</f>
        <v>468720</v>
      </c>
      <c r="O78" s="454">
        <f>G78*K78</f>
        <v>468720</v>
      </c>
      <c r="P78" s="398"/>
      <c r="Q78" s="398"/>
      <c r="R78" s="151"/>
      <c r="S78" s="150"/>
      <c r="T78" s="150">
        <f>H78*K78-468720</f>
        <v>0</v>
      </c>
      <c r="U78" s="150">
        <f>I78*K78-468720</f>
        <v>0</v>
      </c>
      <c r="X78" s="25"/>
    </row>
    <row r="79" spans="1:31" ht="29.4" customHeight="1" x14ac:dyDescent="0.25">
      <c r="A79" s="837"/>
      <c r="B79" s="405"/>
      <c r="C79" s="451" t="s">
        <v>38</v>
      </c>
      <c r="D79" s="19"/>
      <c r="E79" s="614">
        <f>E74+E77</f>
        <v>37</v>
      </c>
      <c r="F79" s="704">
        <f>F74+F77</f>
        <v>38</v>
      </c>
      <c r="G79" s="614">
        <f>G74+G77</f>
        <v>37</v>
      </c>
      <c r="H79" s="616">
        <f>H74+H77</f>
        <v>42</v>
      </c>
      <c r="I79" s="616">
        <f>I74+I77</f>
        <v>42</v>
      </c>
      <c r="J79" s="398" t="s">
        <v>26</v>
      </c>
      <c r="K79" s="398" t="s">
        <v>26</v>
      </c>
      <c r="L79" s="398" t="s">
        <v>26</v>
      </c>
      <c r="M79" s="151" t="s">
        <v>26</v>
      </c>
      <c r="N79" s="416">
        <f t="shared" ref="N79:U79" si="30">SUM(N74:N78)</f>
        <v>3794614.11</v>
      </c>
      <c r="O79" s="416">
        <f t="shared" si="30"/>
        <v>2448066.08</v>
      </c>
      <c r="P79" s="416">
        <f t="shared" si="30"/>
        <v>488367.44</v>
      </c>
      <c r="Q79" s="416">
        <f t="shared" si="30"/>
        <v>0</v>
      </c>
      <c r="R79" s="653">
        <f>SUM(R74:R78)</f>
        <v>858180.59</v>
      </c>
      <c r="S79" s="416">
        <f t="shared" si="30"/>
        <v>0</v>
      </c>
      <c r="T79" s="416">
        <f t="shared" si="30"/>
        <v>4073809.07</v>
      </c>
      <c r="U79" s="416">
        <f t="shared" si="30"/>
        <v>4073809.07</v>
      </c>
    </row>
    <row r="80" spans="1:31" ht="58.2" customHeight="1" x14ac:dyDescent="0.25">
      <c r="A80" s="837"/>
      <c r="B80" s="817" t="s">
        <v>115</v>
      </c>
      <c r="C80" s="815" t="s">
        <v>41</v>
      </c>
      <c r="D80" s="19" t="s">
        <v>24</v>
      </c>
      <c r="E80" s="705">
        <f>1252+176+73</f>
        <v>1501</v>
      </c>
      <c r="F80" s="703">
        <f>1252+176</f>
        <v>1428</v>
      </c>
      <c r="G80" s="11">
        <f>((E80*8)+(F80*4))/12</f>
        <v>1476.6666666666667</v>
      </c>
      <c r="H80" s="447">
        <f>1252+176+49</f>
        <v>1477</v>
      </c>
      <c r="I80" s="447">
        <f>1252+176+49</f>
        <v>1477</v>
      </c>
      <c r="J80" s="151">
        <f>K80</f>
        <v>4592.9799999999996</v>
      </c>
      <c r="K80" s="151">
        <v>4592.9799999999996</v>
      </c>
      <c r="L80" s="151" t="s">
        <v>26</v>
      </c>
      <c r="M80" s="151" t="s">
        <v>26</v>
      </c>
      <c r="N80" s="398">
        <f>SUM(O80:R80)</f>
        <v>6782300.4666666668</v>
      </c>
      <c r="O80" s="398">
        <f>G80*K80</f>
        <v>6782300.4666666668</v>
      </c>
      <c r="P80" s="398" t="s">
        <v>26</v>
      </c>
      <c r="Q80" s="398"/>
      <c r="R80" s="151" t="s">
        <v>26</v>
      </c>
      <c r="S80" s="399"/>
      <c r="T80" s="150">
        <f>H80*K80</f>
        <v>6783831.459999999</v>
      </c>
      <c r="U80" s="150">
        <f>I80*K80</f>
        <v>6783831.459999999</v>
      </c>
    </row>
    <row r="81" spans="1:31" ht="47.4" customHeight="1" x14ac:dyDescent="0.25">
      <c r="A81" s="837"/>
      <c r="B81" s="818"/>
      <c r="C81" s="816"/>
      <c r="D81" s="756" t="s">
        <v>235</v>
      </c>
      <c r="E81" s="759">
        <f>58786-663-1615</f>
        <v>56508</v>
      </c>
      <c r="F81" s="760">
        <f>58786-663</f>
        <v>58123</v>
      </c>
      <c r="G81" s="761">
        <f>((E81*8)+(F81*4))/12</f>
        <v>57046.333333333336</v>
      </c>
      <c r="H81" s="762">
        <f>58786-663</f>
        <v>58123</v>
      </c>
      <c r="I81" s="762">
        <f>58786-663</f>
        <v>58123</v>
      </c>
      <c r="J81" s="365">
        <f>K81</f>
        <v>118.8910850244538</v>
      </c>
      <c r="K81" s="365">
        <f>N81/G81</f>
        <v>118.8910850244538</v>
      </c>
      <c r="L81" s="365" t="s">
        <v>26</v>
      </c>
      <c r="M81" s="365" t="s">
        <v>26</v>
      </c>
      <c r="N81" s="763">
        <f>N80</f>
        <v>6782300.4666666668</v>
      </c>
      <c r="O81" s="763">
        <f>O80</f>
        <v>6782300.4666666668</v>
      </c>
      <c r="P81" s="763" t="s">
        <v>26</v>
      </c>
      <c r="Q81" s="763"/>
      <c r="R81" s="365" t="s">
        <v>26</v>
      </c>
      <c r="S81" s="763"/>
      <c r="T81" s="365">
        <f>T80/G81*H81</f>
        <v>6911866.4234846514</v>
      </c>
      <c r="U81" s="365">
        <f>U80/G81*I81</f>
        <v>6911866.4234846514</v>
      </c>
    </row>
    <row r="82" spans="1:31" ht="19.2" customHeight="1" x14ac:dyDescent="0.25">
      <c r="A82" s="837"/>
      <c r="B82" s="393"/>
      <c r="C82" s="404" t="s">
        <v>38</v>
      </c>
      <c r="D82" s="412"/>
      <c r="E82" s="613">
        <f>SUM(E80:E80)</f>
        <v>1501</v>
      </c>
      <c r="F82" s="613">
        <f>SUM(F80:F80)</f>
        <v>1428</v>
      </c>
      <c r="G82" s="613">
        <f>SUM(G80:G80)</f>
        <v>1476.6666666666667</v>
      </c>
      <c r="H82" s="447">
        <f>SUM(H80:H80)</f>
        <v>1477</v>
      </c>
      <c r="I82" s="447">
        <f>SUM(I80:I80)</f>
        <v>1477</v>
      </c>
      <c r="J82" s="398" t="s">
        <v>26</v>
      </c>
      <c r="K82" s="398">
        <v>0</v>
      </c>
      <c r="L82" s="398">
        <v>0</v>
      </c>
      <c r="M82" s="151">
        <f t="shared" ref="M82:N82" si="31">SUM(M80:M80)</f>
        <v>0</v>
      </c>
      <c r="N82" s="416">
        <f t="shared" si="31"/>
        <v>6782300.4666666668</v>
      </c>
      <c r="O82" s="398">
        <f>SUM(O80:O80)</f>
        <v>6782300.4666666668</v>
      </c>
      <c r="P82" s="398">
        <f>G82*L82</f>
        <v>0</v>
      </c>
      <c r="Q82" s="398"/>
      <c r="R82" s="151">
        <f>G82*M82</f>
        <v>0</v>
      </c>
      <c r="S82" s="399"/>
      <c r="T82" s="150">
        <f>T80</f>
        <v>6783831.459999999</v>
      </c>
      <c r="U82" s="150">
        <f>U80</f>
        <v>6783831.459999999</v>
      </c>
    </row>
    <row r="83" spans="1:31" ht="27.6" x14ac:dyDescent="0.25">
      <c r="A83" s="837"/>
      <c r="B83" s="159" t="s">
        <v>45</v>
      </c>
      <c r="C83" s="28" t="s">
        <v>44</v>
      </c>
      <c r="D83" s="413" t="s">
        <v>46</v>
      </c>
      <c r="E83" s="613">
        <v>10</v>
      </c>
      <c r="F83" s="613">
        <v>10</v>
      </c>
      <c r="G83" s="11">
        <v>10</v>
      </c>
      <c r="H83" s="447">
        <v>10</v>
      </c>
      <c r="I83" s="447">
        <v>10</v>
      </c>
      <c r="J83" s="398"/>
      <c r="K83" s="398"/>
      <c r="L83" s="398">
        <v>419011.08</v>
      </c>
      <c r="M83" s="151"/>
      <c r="N83" s="398">
        <f>P83</f>
        <v>4190110.8000000003</v>
      </c>
      <c r="O83" s="398"/>
      <c r="P83" s="398">
        <f>G83*L83</f>
        <v>4190110.8000000003</v>
      </c>
      <c r="Q83" s="398"/>
      <c r="R83" s="151"/>
      <c r="S83" s="399"/>
      <c r="T83" s="150">
        <f>P83</f>
        <v>4190110.8000000003</v>
      </c>
      <c r="U83" s="150">
        <f t="shared" ref="U83:U88" si="32">T83</f>
        <v>4190110.8000000003</v>
      </c>
    </row>
    <row r="84" spans="1:31" hidden="1" x14ac:dyDescent="0.25">
      <c r="A84" s="837"/>
      <c r="B84" s="28" t="s">
        <v>53</v>
      </c>
      <c r="C84" s="28" t="s">
        <v>54</v>
      </c>
      <c r="D84" s="19" t="s">
        <v>24</v>
      </c>
      <c r="E84" s="613">
        <v>19</v>
      </c>
      <c r="F84" s="613">
        <v>19</v>
      </c>
      <c r="G84" s="613">
        <v>19</v>
      </c>
      <c r="H84" s="447">
        <v>19</v>
      </c>
      <c r="I84" s="447">
        <v>19</v>
      </c>
      <c r="J84" s="398"/>
      <c r="K84" s="398"/>
      <c r="L84" s="398"/>
      <c r="M84" s="151"/>
      <c r="N84" s="398">
        <f>S84</f>
        <v>0</v>
      </c>
      <c r="O84" s="398"/>
      <c r="P84" s="398"/>
      <c r="Q84" s="398"/>
      <c r="R84" s="151"/>
      <c r="S84" s="399"/>
      <c r="T84" s="150">
        <f>S84</f>
        <v>0</v>
      </c>
      <c r="U84" s="150">
        <f t="shared" si="32"/>
        <v>0</v>
      </c>
    </row>
    <row r="85" spans="1:31" hidden="1" x14ac:dyDescent="0.25">
      <c r="A85" s="837"/>
      <c r="B85" s="28" t="s">
        <v>53</v>
      </c>
      <c r="C85" s="28" t="s">
        <v>44</v>
      </c>
      <c r="D85" s="19" t="s">
        <v>24</v>
      </c>
      <c r="E85" s="613">
        <v>4</v>
      </c>
      <c r="F85" s="613">
        <v>4</v>
      </c>
      <c r="G85" s="613">
        <v>4</v>
      </c>
      <c r="H85" s="447">
        <v>4</v>
      </c>
      <c r="I85" s="447">
        <v>4</v>
      </c>
      <c r="J85" s="398"/>
      <c r="K85" s="398"/>
      <c r="L85" s="398"/>
      <c r="M85" s="151"/>
      <c r="N85" s="398">
        <f>Q85</f>
        <v>0</v>
      </c>
      <c r="O85" s="398"/>
      <c r="P85" s="398"/>
      <c r="Q85" s="398"/>
      <c r="R85" s="151"/>
      <c r="S85" s="399"/>
      <c r="T85" s="150"/>
      <c r="U85" s="150">
        <f t="shared" si="32"/>
        <v>0</v>
      </c>
      <c r="V85" s="25"/>
      <c r="W85" s="25"/>
    </row>
    <row r="86" spans="1:31" hidden="1" x14ac:dyDescent="0.25">
      <c r="A86" s="837"/>
      <c r="B86" s="28" t="s">
        <v>55</v>
      </c>
      <c r="C86" s="28" t="s">
        <v>54</v>
      </c>
      <c r="D86" s="19"/>
      <c r="E86" s="613"/>
      <c r="F86" s="613"/>
      <c r="G86" s="613"/>
      <c r="H86" s="447"/>
      <c r="I86" s="447"/>
      <c r="J86" s="398"/>
      <c r="K86" s="398"/>
      <c r="L86" s="398"/>
      <c r="M86" s="151"/>
      <c r="N86" s="398">
        <f>S86</f>
        <v>0</v>
      </c>
      <c r="O86" s="398"/>
      <c r="P86" s="398"/>
      <c r="Q86" s="398"/>
      <c r="R86" s="151"/>
      <c r="S86" s="399"/>
      <c r="T86" s="150"/>
      <c r="U86" s="150"/>
    </row>
    <row r="87" spans="1:31" ht="17.399999999999999" customHeight="1" x14ac:dyDescent="0.25">
      <c r="A87" s="837"/>
      <c r="B87" s="28" t="s">
        <v>47</v>
      </c>
      <c r="C87" s="28" t="s">
        <v>44</v>
      </c>
      <c r="D87" s="19"/>
      <c r="E87" s="613">
        <v>25</v>
      </c>
      <c r="F87" s="613">
        <v>25</v>
      </c>
      <c r="G87" s="11">
        <f>((E87*8)+(F87*4))/12</f>
        <v>25</v>
      </c>
      <c r="H87" s="447">
        <v>25</v>
      </c>
      <c r="I87" s="447">
        <v>25</v>
      </c>
      <c r="J87" s="398"/>
      <c r="K87" s="398"/>
      <c r="L87" s="398"/>
      <c r="M87" s="151"/>
      <c r="N87" s="14">
        <f>SUM(O87:R87)</f>
        <v>5859040</v>
      </c>
      <c r="O87" s="454">
        <f>O78+O72+O60</f>
        <v>5859040</v>
      </c>
      <c r="P87" s="398"/>
      <c r="Q87" s="398"/>
      <c r="R87" s="151"/>
      <c r="S87" s="399"/>
      <c r="T87" s="341">
        <f>T78+T72+T60</f>
        <v>0</v>
      </c>
      <c r="U87" s="341">
        <f>U78+U72+U60</f>
        <v>0</v>
      </c>
    </row>
    <row r="88" spans="1:31" ht="13.95" hidden="1" customHeight="1" x14ac:dyDescent="0.25">
      <c r="A88" s="837"/>
      <c r="B88" s="28" t="s">
        <v>48</v>
      </c>
      <c r="C88" s="28" t="s">
        <v>44</v>
      </c>
      <c r="D88" s="19"/>
      <c r="E88" s="613"/>
      <c r="F88" s="613"/>
      <c r="G88" s="613"/>
      <c r="H88" s="447"/>
      <c r="I88" s="447"/>
      <c r="J88" s="398"/>
      <c r="K88" s="398"/>
      <c r="L88" s="398"/>
      <c r="M88" s="151"/>
      <c r="N88" s="398">
        <f>O88</f>
        <v>0</v>
      </c>
      <c r="O88" s="398"/>
      <c r="P88" s="398"/>
      <c r="Q88" s="398"/>
      <c r="R88" s="151"/>
      <c r="S88" s="399"/>
      <c r="T88" s="150">
        <f>O88</f>
        <v>0</v>
      </c>
      <c r="U88" s="150">
        <f t="shared" si="32"/>
        <v>0</v>
      </c>
    </row>
    <row r="89" spans="1:31" ht="13.95" hidden="1" customHeight="1" x14ac:dyDescent="0.25">
      <c r="A89" s="837"/>
      <c r="B89" s="28" t="s">
        <v>49</v>
      </c>
      <c r="C89" s="28" t="s">
        <v>44</v>
      </c>
      <c r="D89" s="19"/>
      <c r="E89" s="613"/>
      <c r="F89" s="613"/>
      <c r="G89" s="613"/>
      <c r="H89" s="447"/>
      <c r="I89" s="447"/>
      <c r="J89" s="398"/>
      <c r="K89" s="398"/>
      <c r="L89" s="398"/>
      <c r="M89" s="151"/>
      <c r="N89" s="398">
        <f>P89</f>
        <v>0</v>
      </c>
      <c r="O89" s="398"/>
      <c r="P89" s="398"/>
      <c r="Q89" s="398"/>
      <c r="R89" s="151"/>
      <c r="S89" s="399"/>
      <c r="T89" s="150"/>
      <c r="U89" s="150">
        <f>T89</f>
        <v>0</v>
      </c>
    </row>
    <row r="90" spans="1:31" ht="27.6" customHeight="1" x14ac:dyDescent="0.25">
      <c r="A90" s="838"/>
      <c r="B90" s="412" t="s">
        <v>50</v>
      </c>
      <c r="C90" s="412"/>
      <c r="D90" s="412"/>
      <c r="E90" s="614">
        <f>E61+E73+E79</f>
        <v>526</v>
      </c>
      <c r="F90" s="614">
        <f>F61+F73+F79</f>
        <v>533</v>
      </c>
      <c r="G90" s="614">
        <f>G61+G73+G79</f>
        <v>528</v>
      </c>
      <c r="H90" s="616">
        <f>H61+H73+H79</f>
        <v>667</v>
      </c>
      <c r="I90" s="616">
        <f>I61+I73+I79</f>
        <v>708</v>
      </c>
      <c r="J90" s="416"/>
      <c r="K90" s="416"/>
      <c r="L90" s="416"/>
      <c r="M90" s="154"/>
      <c r="N90" s="416">
        <f>SUM(O90:S90)</f>
        <v>69901876.906666666</v>
      </c>
      <c r="O90" s="416">
        <f>O61+O73+O79+O82+O88</f>
        <v>44287277.836666666</v>
      </c>
      <c r="P90" s="416">
        <f>P61+P73+P79+P82+P83+P84+P85+P89</f>
        <v>13368130.110000001</v>
      </c>
      <c r="Q90" s="416">
        <f>Q61+Q73+Q79+Q82+Q83+Q84+Q85</f>
        <v>0</v>
      </c>
      <c r="R90" s="653">
        <f>R61+R73+R79+R82+R83+R84+R85+R86</f>
        <v>12246468.960000001</v>
      </c>
      <c r="S90" s="425">
        <f>S61+S73+S79+S82+S83+S84+S85+S86</f>
        <v>0</v>
      </c>
      <c r="T90" s="425">
        <f>T61+T73+T79+T82+T83+T84+T85+T86+T88+T89</f>
        <v>73873233.640000001</v>
      </c>
      <c r="U90" s="425">
        <f>U61+U73+U79+U82+U83+U84+U85+U86+U88+U89</f>
        <v>77410504.950000003</v>
      </c>
      <c r="V90" s="25"/>
      <c r="W90" s="1" t="s">
        <v>447</v>
      </c>
      <c r="AB90" s="1" t="s">
        <v>589</v>
      </c>
    </row>
    <row r="91" spans="1:31" ht="76.2" customHeight="1" x14ac:dyDescent="0.25">
      <c r="A91" s="839" t="s">
        <v>56</v>
      </c>
      <c r="B91" s="833" t="s">
        <v>112</v>
      </c>
      <c r="C91" s="22" t="s">
        <v>23</v>
      </c>
      <c r="D91" s="19" t="s">
        <v>24</v>
      </c>
      <c r="E91" s="707">
        <f>220-1</f>
        <v>219</v>
      </c>
      <c r="F91" s="691">
        <v>208</v>
      </c>
      <c r="G91" s="448">
        <f>215</f>
        <v>215</v>
      </c>
      <c r="H91" s="766">
        <v>218</v>
      </c>
      <c r="I91" s="766">
        <v>218</v>
      </c>
      <c r="J91" s="387">
        <f>SUM(K91:M91)</f>
        <v>66595.100000000006</v>
      </c>
      <c r="K91" s="387">
        <f>28292.04+2198.86</f>
        <v>30490.9</v>
      </c>
      <c r="L91" s="387">
        <v>12910.13</v>
      </c>
      <c r="M91" s="484">
        <v>23194.07</v>
      </c>
      <c r="N91" s="430">
        <f>SUM(O91:R91)</f>
        <v>14317946.5</v>
      </c>
      <c r="O91" s="430">
        <f>G91*K91</f>
        <v>6555543.5</v>
      </c>
      <c r="P91" s="484">
        <f>G91*L91</f>
        <v>2775677.9499999997</v>
      </c>
      <c r="Q91" s="430"/>
      <c r="R91" s="151">
        <f>G91*M91</f>
        <v>4986725.05</v>
      </c>
      <c r="S91" s="150"/>
      <c r="T91" s="150">
        <f>W91</f>
        <v>14517731.799999999</v>
      </c>
      <c r="U91" s="150">
        <f>AB91</f>
        <v>14517731.799999999</v>
      </c>
      <c r="W91" s="454">
        <f>SUM(X91:AA91)</f>
        <v>14517731.799999999</v>
      </c>
      <c r="X91" s="398">
        <f>H91*K91</f>
        <v>6647016.2000000002</v>
      </c>
      <c r="Y91" s="14">
        <f>H91*L91</f>
        <v>2814408.34</v>
      </c>
      <c r="Z91" s="398">
        <f>H91*M91</f>
        <v>5056307.26</v>
      </c>
      <c r="AB91" s="454">
        <f>SUM(AC91:AF91)</f>
        <v>14517731.799999999</v>
      </c>
      <c r="AC91" s="398">
        <f>I91*K91</f>
        <v>6647016.2000000002</v>
      </c>
      <c r="AD91" s="14">
        <f>I91*L91</f>
        <v>2814408.34</v>
      </c>
      <c r="AE91" s="398">
        <f>I91*M91</f>
        <v>5056307.26</v>
      </c>
    </row>
    <row r="92" spans="1:31" ht="82.8" x14ac:dyDescent="0.25">
      <c r="A92" s="839"/>
      <c r="B92" s="834"/>
      <c r="C92" s="408" t="s">
        <v>25</v>
      </c>
      <c r="D92" s="19" t="s">
        <v>24</v>
      </c>
      <c r="E92" s="11" t="s">
        <v>26</v>
      </c>
      <c r="F92" s="11" t="s">
        <v>26</v>
      </c>
      <c r="G92" s="11" t="s">
        <v>26</v>
      </c>
      <c r="H92" s="418" t="s">
        <v>26</v>
      </c>
      <c r="I92" s="418" t="s">
        <v>26</v>
      </c>
      <c r="J92" s="429" t="s">
        <v>26</v>
      </c>
      <c r="K92" s="429" t="s">
        <v>26</v>
      </c>
      <c r="L92" s="429" t="s">
        <v>26</v>
      </c>
      <c r="M92" s="418" t="s">
        <v>26</v>
      </c>
      <c r="N92" s="429"/>
      <c r="O92" s="429"/>
      <c r="P92" s="429" t="s">
        <v>26</v>
      </c>
      <c r="Q92" s="429"/>
      <c r="R92" s="418" t="s">
        <v>26</v>
      </c>
      <c r="S92" s="10"/>
      <c r="T92" s="150"/>
      <c r="U92" s="150"/>
    </row>
    <row r="93" spans="1:31" x14ac:dyDescent="0.25">
      <c r="A93" s="839"/>
      <c r="B93" s="834"/>
      <c r="C93" s="408" t="s">
        <v>57</v>
      </c>
      <c r="D93" s="19" t="s">
        <v>24</v>
      </c>
      <c r="E93" s="11">
        <v>1</v>
      </c>
      <c r="F93" s="691">
        <v>1</v>
      </c>
      <c r="G93" s="448">
        <f t="shared" ref="G93:G124" si="33">((E93*8)+(F93*4))/12</f>
        <v>1</v>
      </c>
      <c r="H93" s="766">
        <v>1</v>
      </c>
      <c r="I93" s="766">
        <v>1</v>
      </c>
      <c r="J93" s="151">
        <f t="shared" ref="J93:J98" si="34">K93</f>
        <v>148317.25</v>
      </c>
      <c r="K93" s="151">
        <v>148317.25</v>
      </c>
      <c r="L93" s="429" t="s">
        <v>26</v>
      </c>
      <c r="M93" s="418" t="s">
        <v>26</v>
      </c>
      <c r="N93" s="430">
        <f t="shared" ref="N93:N98" si="35">O93</f>
        <v>148317.25</v>
      </c>
      <c r="O93" s="430">
        <f>G93*K93</f>
        <v>148317.25</v>
      </c>
      <c r="P93" s="429" t="s">
        <v>26</v>
      </c>
      <c r="Q93" s="429"/>
      <c r="R93" s="418" t="s">
        <v>26</v>
      </c>
      <c r="S93" s="10"/>
      <c r="T93" s="150">
        <f t="shared" ref="T93:T98" si="36">H93*K93</f>
        <v>148317.25</v>
      </c>
      <c r="U93" s="150">
        <f t="shared" ref="U93:U98" si="37">I93*K93</f>
        <v>148317.25</v>
      </c>
    </row>
    <row r="94" spans="1:31" x14ac:dyDescent="0.25">
      <c r="A94" s="839"/>
      <c r="B94" s="834"/>
      <c r="C94" s="408" t="s">
        <v>27</v>
      </c>
      <c r="D94" s="19" t="s">
        <v>24</v>
      </c>
      <c r="E94" s="11"/>
      <c r="F94" s="11"/>
      <c r="G94" s="11">
        <f t="shared" si="33"/>
        <v>0</v>
      </c>
      <c r="H94" s="418">
        <v>0</v>
      </c>
      <c r="I94" s="766">
        <v>0</v>
      </c>
      <c r="J94" s="151">
        <f t="shared" si="34"/>
        <v>131161.82999999999</v>
      </c>
      <c r="K94" s="151">
        <v>131161.82999999999</v>
      </c>
      <c r="L94" s="429" t="s">
        <v>26</v>
      </c>
      <c r="M94" s="418" t="s">
        <v>26</v>
      </c>
      <c r="N94" s="430">
        <f t="shared" si="35"/>
        <v>0</v>
      </c>
      <c r="O94" s="430">
        <f t="shared" ref="O94:O98" si="38">G94*K94</f>
        <v>0</v>
      </c>
      <c r="P94" s="429" t="s">
        <v>26</v>
      </c>
      <c r="Q94" s="429"/>
      <c r="R94" s="418" t="s">
        <v>26</v>
      </c>
      <c r="S94" s="10"/>
      <c r="T94" s="150">
        <f t="shared" si="36"/>
        <v>0</v>
      </c>
      <c r="U94" s="150">
        <f t="shared" si="37"/>
        <v>0</v>
      </c>
    </row>
    <row r="95" spans="1:31" x14ac:dyDescent="0.25">
      <c r="A95" s="839"/>
      <c r="B95" s="834"/>
      <c r="C95" s="408" t="s">
        <v>28</v>
      </c>
      <c r="D95" s="19" t="s">
        <v>24</v>
      </c>
      <c r="E95" s="707">
        <f>24-1</f>
        <v>23</v>
      </c>
      <c r="F95" s="691">
        <f>24-7</f>
        <v>17</v>
      </c>
      <c r="G95" s="448">
        <f>21</f>
        <v>21</v>
      </c>
      <c r="H95" s="766">
        <f>21</f>
        <v>21</v>
      </c>
      <c r="I95" s="766">
        <f>21</f>
        <v>21</v>
      </c>
      <c r="J95" s="151">
        <f t="shared" si="34"/>
        <v>148317.25</v>
      </c>
      <c r="K95" s="151">
        <v>148317.25</v>
      </c>
      <c r="L95" s="429" t="s">
        <v>26</v>
      </c>
      <c r="M95" s="418" t="s">
        <v>26</v>
      </c>
      <c r="N95" s="430">
        <f t="shared" si="35"/>
        <v>3114662.25</v>
      </c>
      <c r="O95" s="430">
        <f t="shared" si="38"/>
        <v>3114662.25</v>
      </c>
      <c r="P95" s="429" t="s">
        <v>26</v>
      </c>
      <c r="Q95" s="429"/>
      <c r="R95" s="418" t="s">
        <v>26</v>
      </c>
      <c r="S95" s="10"/>
      <c r="T95" s="150">
        <f t="shared" si="36"/>
        <v>3114662.25</v>
      </c>
      <c r="U95" s="150">
        <f t="shared" si="37"/>
        <v>3114662.25</v>
      </c>
    </row>
    <row r="96" spans="1:31" x14ac:dyDescent="0.25">
      <c r="A96" s="839"/>
      <c r="B96" s="834"/>
      <c r="C96" s="408" t="s">
        <v>29</v>
      </c>
      <c r="D96" s="19" t="s">
        <v>24</v>
      </c>
      <c r="E96" s="11">
        <v>1</v>
      </c>
      <c r="F96" s="691">
        <v>1</v>
      </c>
      <c r="G96" s="448">
        <v>1</v>
      </c>
      <c r="H96" s="766">
        <v>1</v>
      </c>
      <c r="I96" s="766">
        <v>1</v>
      </c>
      <c r="J96" s="151">
        <f t="shared" si="34"/>
        <v>175051.01</v>
      </c>
      <c r="K96" s="151">
        <v>175051.01</v>
      </c>
      <c r="L96" s="429" t="s">
        <v>26</v>
      </c>
      <c r="M96" s="418" t="s">
        <v>26</v>
      </c>
      <c r="N96" s="430">
        <f t="shared" si="35"/>
        <v>175051.01</v>
      </c>
      <c r="O96" s="430">
        <f t="shared" si="38"/>
        <v>175051.01</v>
      </c>
      <c r="P96" s="429" t="s">
        <v>26</v>
      </c>
      <c r="Q96" s="429"/>
      <c r="R96" s="418" t="s">
        <v>26</v>
      </c>
      <c r="S96" s="10"/>
      <c r="T96" s="150">
        <f t="shared" si="36"/>
        <v>175051.01</v>
      </c>
      <c r="U96" s="150">
        <f t="shared" si="37"/>
        <v>175051.01</v>
      </c>
    </row>
    <row r="97" spans="1:31" x14ac:dyDescent="0.25">
      <c r="A97" s="839"/>
      <c r="B97" s="834"/>
      <c r="C97" s="408" t="s">
        <v>30</v>
      </c>
      <c r="D97" s="19" t="s">
        <v>24</v>
      </c>
      <c r="E97" s="11">
        <v>15</v>
      </c>
      <c r="F97" s="691">
        <v>16</v>
      </c>
      <c r="G97" s="448">
        <v>15</v>
      </c>
      <c r="H97" s="766">
        <f>15</f>
        <v>15</v>
      </c>
      <c r="I97" s="766">
        <f>15</f>
        <v>15</v>
      </c>
      <c r="J97" s="151">
        <f t="shared" si="34"/>
        <v>146008.26</v>
      </c>
      <c r="K97" s="151">
        <v>146008.26</v>
      </c>
      <c r="L97" s="429" t="s">
        <v>26</v>
      </c>
      <c r="M97" s="418" t="s">
        <v>26</v>
      </c>
      <c r="N97" s="430">
        <f t="shared" si="35"/>
        <v>2190123.9000000004</v>
      </c>
      <c r="O97" s="430">
        <f t="shared" si="38"/>
        <v>2190123.9000000004</v>
      </c>
      <c r="P97" s="429" t="s">
        <v>26</v>
      </c>
      <c r="Q97" s="429"/>
      <c r="R97" s="418" t="s">
        <v>26</v>
      </c>
      <c r="S97" s="10"/>
      <c r="T97" s="150">
        <f t="shared" si="36"/>
        <v>2190123.9000000004</v>
      </c>
      <c r="U97" s="150">
        <f t="shared" si="37"/>
        <v>2190123.9000000004</v>
      </c>
    </row>
    <row r="98" spans="1:31" x14ac:dyDescent="0.25">
      <c r="A98" s="839"/>
      <c r="B98" s="834"/>
      <c r="C98" s="408" t="s">
        <v>34</v>
      </c>
      <c r="D98" s="19" t="s">
        <v>24</v>
      </c>
      <c r="E98" s="448"/>
      <c r="F98" s="448"/>
      <c r="G98" s="11">
        <f t="shared" si="33"/>
        <v>0</v>
      </c>
      <c r="H98" s="418">
        <v>0</v>
      </c>
      <c r="I98" s="418">
        <v>0</v>
      </c>
      <c r="J98" s="151">
        <f t="shared" si="34"/>
        <v>129594.64</v>
      </c>
      <c r="K98" s="151">
        <v>129594.64</v>
      </c>
      <c r="L98" s="429" t="s">
        <v>26</v>
      </c>
      <c r="M98" s="418" t="s">
        <v>26</v>
      </c>
      <c r="N98" s="430">
        <f t="shared" si="35"/>
        <v>0</v>
      </c>
      <c r="O98" s="430">
        <f t="shared" si="38"/>
        <v>0</v>
      </c>
      <c r="P98" s="429" t="s">
        <v>26</v>
      </c>
      <c r="Q98" s="429"/>
      <c r="R98" s="418" t="s">
        <v>26</v>
      </c>
      <c r="S98" s="10"/>
      <c r="T98" s="150">
        <f t="shared" si="36"/>
        <v>0</v>
      </c>
      <c r="U98" s="150">
        <f t="shared" si="37"/>
        <v>0</v>
      </c>
      <c r="W98" s="500" t="s">
        <v>359</v>
      </c>
    </row>
    <row r="99" spans="1:31" ht="82.95" customHeight="1" x14ac:dyDescent="0.25">
      <c r="A99" s="839"/>
      <c r="B99" s="834"/>
      <c r="C99" s="408" t="s">
        <v>35</v>
      </c>
      <c r="D99" s="19" t="s">
        <v>24</v>
      </c>
      <c r="E99" s="11">
        <v>2</v>
      </c>
      <c r="F99" s="691">
        <v>1</v>
      </c>
      <c r="G99" s="448">
        <f>2</f>
        <v>2</v>
      </c>
      <c r="H99" s="766">
        <f>2</f>
        <v>2</v>
      </c>
      <c r="I99" s="766">
        <f>2</f>
        <v>2</v>
      </c>
      <c r="J99" s="151">
        <f>SUM(K99:M99)</f>
        <v>317106.40000000002</v>
      </c>
      <c r="K99" s="151">
        <f>278803.34+2198.86</f>
        <v>281002.2</v>
      </c>
      <c r="L99" s="387">
        <v>12910.13</v>
      </c>
      <c r="M99" s="484">
        <v>23194.07</v>
      </c>
      <c r="N99" s="430">
        <f>SUM(O99:R99)</f>
        <v>634212.80000000005</v>
      </c>
      <c r="O99" s="430">
        <f>G99*K99</f>
        <v>562004.4</v>
      </c>
      <c r="P99" s="430">
        <f>G99*L99</f>
        <v>25820.26</v>
      </c>
      <c r="Q99" s="430"/>
      <c r="R99" s="151">
        <f>G99*M99</f>
        <v>46388.14</v>
      </c>
      <c r="S99" s="150"/>
      <c r="T99" s="150">
        <f>W99</f>
        <v>634212.80000000005</v>
      </c>
      <c r="U99" s="150">
        <f>AB99</f>
        <v>634212.80000000005</v>
      </c>
      <c r="W99" s="454">
        <f>SUM(X99:AA99)</f>
        <v>634212.80000000005</v>
      </c>
      <c r="X99" s="398">
        <f>H99*K99</f>
        <v>562004.4</v>
      </c>
      <c r="Y99" s="14">
        <f>H99*L99</f>
        <v>25820.26</v>
      </c>
      <c r="Z99" s="398">
        <f>H99*M99</f>
        <v>46388.14</v>
      </c>
      <c r="AB99" s="454">
        <f>SUM(AC99:AF99)</f>
        <v>634212.80000000005</v>
      </c>
      <c r="AC99" s="398">
        <f>I99*K99</f>
        <v>562004.4</v>
      </c>
      <c r="AD99" s="14">
        <f>I99*L99</f>
        <v>25820.26</v>
      </c>
      <c r="AE99" s="398">
        <f>I99*M99</f>
        <v>46388.14</v>
      </c>
    </row>
    <row r="100" spans="1:31" ht="13.95" customHeight="1" x14ac:dyDescent="0.25">
      <c r="A100" s="839"/>
      <c r="B100" s="834"/>
      <c r="C100" s="422" t="s">
        <v>58</v>
      </c>
      <c r="D100" s="19" t="s">
        <v>59</v>
      </c>
      <c r="E100" s="11">
        <v>8</v>
      </c>
      <c r="F100" s="11">
        <v>8</v>
      </c>
      <c r="G100" s="11">
        <f t="shared" si="33"/>
        <v>8</v>
      </c>
      <c r="H100" s="418">
        <v>8</v>
      </c>
      <c r="I100" s="418">
        <v>8</v>
      </c>
      <c r="J100" s="151">
        <f>SUM(K100:M100)</f>
        <v>234360</v>
      </c>
      <c r="K100" s="151">
        <f>10000*1.5*1.302*12</f>
        <v>234360</v>
      </c>
      <c r="L100" s="387"/>
      <c r="M100" s="14"/>
      <c r="N100" s="14">
        <f>SUM(O100:R100)</f>
        <v>1874880</v>
      </c>
      <c r="O100" s="484">
        <f>G100*K100</f>
        <v>1874880</v>
      </c>
      <c r="P100" s="430"/>
      <c r="Q100" s="430"/>
      <c r="R100" s="151"/>
      <c r="S100" s="150"/>
      <c r="T100" s="150">
        <f>H100*K100-1874880</f>
        <v>0</v>
      </c>
      <c r="U100" s="150">
        <f>I100*K100-1874880</f>
        <v>0</v>
      </c>
    </row>
    <row r="101" spans="1:31" ht="27.6" customHeight="1" x14ac:dyDescent="0.25">
      <c r="A101" s="839"/>
      <c r="B101" s="835"/>
      <c r="C101" s="423" t="s">
        <v>38</v>
      </c>
      <c r="D101" s="19"/>
      <c r="E101" s="612">
        <f>E91+E99</f>
        <v>221</v>
      </c>
      <c r="F101" s="694">
        <f>F91+F99</f>
        <v>209</v>
      </c>
      <c r="G101" s="693">
        <f>G91+G99</f>
        <v>217</v>
      </c>
      <c r="H101" s="767">
        <f>H91+H99</f>
        <v>220</v>
      </c>
      <c r="I101" s="767">
        <f>I91+I99</f>
        <v>220</v>
      </c>
      <c r="J101" s="430" t="s">
        <v>26</v>
      </c>
      <c r="K101" s="430" t="s">
        <v>26</v>
      </c>
      <c r="L101" s="430" t="s">
        <v>26</v>
      </c>
      <c r="M101" s="14" t="s">
        <v>26</v>
      </c>
      <c r="N101" s="434">
        <f t="shared" ref="N101:U101" si="39">SUM(N91:N100)</f>
        <v>22455193.710000005</v>
      </c>
      <c r="O101" s="434">
        <f t="shared" si="39"/>
        <v>14620582.310000001</v>
      </c>
      <c r="P101" s="434">
        <f t="shared" si="39"/>
        <v>2801498.2099999995</v>
      </c>
      <c r="Q101" s="434">
        <f t="shared" si="39"/>
        <v>0</v>
      </c>
      <c r="R101" s="801">
        <f t="shared" si="39"/>
        <v>5033113.1899999995</v>
      </c>
      <c r="S101" s="434">
        <f t="shared" si="39"/>
        <v>0</v>
      </c>
      <c r="T101" s="434">
        <f t="shared" si="39"/>
        <v>20780099.010000002</v>
      </c>
      <c r="U101" s="434">
        <f t="shared" si="39"/>
        <v>20780099.010000002</v>
      </c>
      <c r="W101" s="1" t="s">
        <v>447</v>
      </c>
      <c r="AB101" s="1" t="s">
        <v>589</v>
      </c>
    </row>
    <row r="102" spans="1:31" ht="72.599999999999994" customHeight="1" x14ac:dyDescent="0.25">
      <c r="A102" s="839"/>
      <c r="B102" s="833" t="s">
        <v>316</v>
      </c>
      <c r="C102" s="22" t="s">
        <v>23</v>
      </c>
      <c r="D102" s="19" t="s">
        <v>24</v>
      </c>
      <c r="E102" s="11">
        <v>230</v>
      </c>
      <c r="F102" s="691">
        <v>223</v>
      </c>
      <c r="G102" s="448">
        <f>223+G108</f>
        <v>227</v>
      </c>
      <c r="H102" s="766">
        <f>228+H108</f>
        <v>232</v>
      </c>
      <c r="I102" s="766">
        <f>228+I108</f>
        <v>232</v>
      </c>
      <c r="J102" s="387">
        <f>SUM(K102:M102)</f>
        <v>82222.179999999993</v>
      </c>
      <c r="K102" s="387">
        <f>43367.41+2750.57</f>
        <v>46117.98</v>
      </c>
      <c r="L102" s="387">
        <v>12910.13</v>
      </c>
      <c r="M102" s="484">
        <v>23194.07</v>
      </c>
      <c r="N102" s="14">
        <f>SUM(O102:R102)</f>
        <v>18664434.859999999</v>
      </c>
      <c r="O102" s="430">
        <f>G102*K102</f>
        <v>10468781.460000001</v>
      </c>
      <c r="P102" s="14">
        <f>G102*L102</f>
        <v>2930599.51</v>
      </c>
      <c r="Q102" s="430"/>
      <c r="R102" s="151">
        <f>G102*M102</f>
        <v>5265053.8899999997</v>
      </c>
      <c r="S102" s="150"/>
      <c r="T102" s="150">
        <f>W102</f>
        <v>19075545.760000002</v>
      </c>
      <c r="U102" s="150">
        <f>AB102</f>
        <v>19075545.760000002</v>
      </c>
      <c r="W102" s="454">
        <f>SUM(X102:AA102)</f>
        <v>19075545.760000002</v>
      </c>
      <c r="X102" s="398">
        <f>H102*K102</f>
        <v>10699371.360000001</v>
      </c>
      <c r="Y102" s="618">
        <f>H102*L102</f>
        <v>2995150.1599999997</v>
      </c>
      <c r="Z102" s="398">
        <f>H102*M102</f>
        <v>5381024.2400000002</v>
      </c>
      <c r="AB102" s="454">
        <f>SUM(AC102:AF102)</f>
        <v>19075545.760000002</v>
      </c>
      <c r="AC102" s="398">
        <f>I102*K102</f>
        <v>10699371.360000001</v>
      </c>
      <c r="AD102" s="618">
        <f>I102*L102</f>
        <v>2995150.1599999997</v>
      </c>
      <c r="AE102" s="398">
        <f>I102*M102</f>
        <v>5381024.2400000002</v>
      </c>
    </row>
    <row r="103" spans="1:31" ht="96.6" x14ac:dyDescent="0.25">
      <c r="A103" s="839"/>
      <c r="B103" s="834"/>
      <c r="C103" s="22" t="s">
        <v>63</v>
      </c>
      <c r="D103" s="19" t="s">
        <v>24</v>
      </c>
      <c r="E103" s="715">
        <f>69+1</f>
        <v>70</v>
      </c>
      <c r="F103" s="699">
        <v>73</v>
      </c>
      <c r="G103" s="780">
        <f>71</f>
        <v>71</v>
      </c>
      <c r="H103" s="780">
        <f>71</f>
        <v>71</v>
      </c>
      <c r="I103" s="780">
        <f>71</f>
        <v>71</v>
      </c>
      <c r="J103" s="387">
        <f>SUM(K103:M103)</f>
        <v>85985.919999999998</v>
      </c>
      <c r="K103" s="387">
        <f>47131.15+2750.57</f>
        <v>49881.72</v>
      </c>
      <c r="L103" s="387">
        <v>12910.13</v>
      </c>
      <c r="M103" s="484">
        <v>23194.07</v>
      </c>
      <c r="N103" s="504">
        <f>SUM(O103:R103)</f>
        <v>6105000.3199999994</v>
      </c>
      <c r="O103" s="504">
        <f>G103*K103</f>
        <v>3541602.12</v>
      </c>
      <c r="P103" s="14">
        <f>G103*L103</f>
        <v>916619.23</v>
      </c>
      <c r="Q103" s="504"/>
      <c r="R103" s="151">
        <f>G103*M103</f>
        <v>1646778.97</v>
      </c>
      <c r="S103" s="150"/>
      <c r="T103" s="150">
        <f>W103</f>
        <v>6105000.3199999994</v>
      </c>
      <c r="U103" s="150">
        <f>AB103</f>
        <v>6105000.3199999994</v>
      </c>
      <c r="W103" s="454">
        <f>SUM(X103:AA103)</f>
        <v>6105000.3199999994</v>
      </c>
      <c r="X103" s="398">
        <f>H103*K103</f>
        <v>3541602.12</v>
      </c>
      <c r="Y103" s="14">
        <f>H103*L103</f>
        <v>916619.23</v>
      </c>
      <c r="Z103" s="398">
        <f>H103*M103</f>
        <v>1646778.97</v>
      </c>
      <c r="AB103" s="454">
        <f>SUM(AC103:AF103)</f>
        <v>6105000.3199999994</v>
      </c>
      <c r="AC103" s="398">
        <f>I103*K103</f>
        <v>3541602.12</v>
      </c>
      <c r="AD103" s="14">
        <f>I103*L103</f>
        <v>916619.23</v>
      </c>
      <c r="AE103" s="398">
        <f>I103*M103</f>
        <v>1646778.97</v>
      </c>
    </row>
    <row r="104" spans="1:31" ht="82.8" x14ac:dyDescent="0.25">
      <c r="A104" s="839"/>
      <c r="B104" s="834"/>
      <c r="C104" s="408" t="s">
        <v>25</v>
      </c>
      <c r="D104" s="19" t="s">
        <v>24</v>
      </c>
      <c r="E104" s="10" t="s">
        <v>26</v>
      </c>
      <c r="F104" s="10" t="s">
        <v>26</v>
      </c>
      <c r="G104" s="10" t="s">
        <v>26</v>
      </c>
      <c r="H104" s="429" t="s">
        <v>26</v>
      </c>
      <c r="I104" s="429" t="s">
        <v>26</v>
      </c>
      <c r="J104" s="429" t="s">
        <v>26</v>
      </c>
      <c r="K104" s="429" t="s">
        <v>26</v>
      </c>
      <c r="L104" s="429" t="s">
        <v>26</v>
      </c>
      <c r="M104" s="418" t="s">
        <v>26</v>
      </c>
      <c r="N104" s="430"/>
      <c r="O104" s="430"/>
      <c r="P104" s="429" t="s">
        <v>26</v>
      </c>
      <c r="Q104" s="429"/>
      <c r="R104" s="418" t="s">
        <v>26</v>
      </c>
      <c r="S104" s="10"/>
      <c r="T104" s="150"/>
      <c r="U104" s="150"/>
    </row>
    <row r="105" spans="1:31" x14ac:dyDescent="0.25">
      <c r="A105" s="839"/>
      <c r="B105" s="834"/>
      <c r="C105" s="408" t="s">
        <v>57</v>
      </c>
      <c r="D105" s="19" t="s">
        <v>24</v>
      </c>
      <c r="E105" s="613">
        <f>1-1</f>
        <v>0</v>
      </c>
      <c r="F105" s="613">
        <f>1-1</f>
        <v>0</v>
      </c>
      <c r="G105" s="11">
        <f t="shared" si="33"/>
        <v>0</v>
      </c>
      <c r="H105" s="447">
        <v>0</v>
      </c>
      <c r="I105" s="447">
        <v>0</v>
      </c>
      <c r="J105" s="151">
        <f>K105</f>
        <v>82926.070000000007</v>
      </c>
      <c r="K105" s="151">
        <v>82926.070000000007</v>
      </c>
      <c r="L105" s="429" t="s">
        <v>26</v>
      </c>
      <c r="M105" s="418" t="s">
        <v>26</v>
      </c>
      <c r="N105" s="430">
        <f>O105</f>
        <v>0</v>
      </c>
      <c r="O105" s="430">
        <f>G105*K105</f>
        <v>0</v>
      </c>
      <c r="P105" s="429" t="s">
        <v>26</v>
      </c>
      <c r="Q105" s="429"/>
      <c r="R105" s="418" t="s">
        <v>26</v>
      </c>
      <c r="S105" s="10"/>
      <c r="T105" s="150">
        <f>H105*K105</f>
        <v>0</v>
      </c>
      <c r="U105" s="150">
        <f>I105*K105</f>
        <v>0</v>
      </c>
    </row>
    <row r="106" spans="1:31" x14ac:dyDescent="0.25">
      <c r="A106" s="839"/>
      <c r="B106" s="834"/>
      <c r="C106" s="408" t="s">
        <v>27</v>
      </c>
      <c r="D106" s="19" t="s">
        <v>24</v>
      </c>
      <c r="E106" s="613">
        <f>1-1</f>
        <v>0</v>
      </c>
      <c r="F106" s="613">
        <f>1-1</f>
        <v>0</v>
      </c>
      <c r="G106" s="11">
        <f t="shared" si="33"/>
        <v>0</v>
      </c>
      <c r="H106" s="447">
        <v>0</v>
      </c>
      <c r="I106" s="447">
        <v>0</v>
      </c>
      <c r="J106" s="151">
        <f>K106</f>
        <v>57318.77</v>
      </c>
      <c r="K106" s="151">
        <v>57318.77</v>
      </c>
      <c r="L106" s="429" t="s">
        <v>26</v>
      </c>
      <c r="M106" s="418" t="s">
        <v>26</v>
      </c>
      <c r="N106" s="430">
        <f>O106</f>
        <v>0</v>
      </c>
      <c r="O106" s="430">
        <f>G106*K106</f>
        <v>0</v>
      </c>
      <c r="P106" s="429" t="s">
        <v>26</v>
      </c>
      <c r="Q106" s="429"/>
      <c r="R106" s="418" t="s">
        <v>26</v>
      </c>
      <c r="S106" s="10"/>
      <c r="T106" s="150">
        <f>H106*K106</f>
        <v>0</v>
      </c>
      <c r="U106" s="150">
        <f>I106*K106</f>
        <v>0</v>
      </c>
    </row>
    <row r="107" spans="1:31" x14ac:dyDescent="0.25">
      <c r="A107" s="839"/>
      <c r="B107" s="834"/>
      <c r="C107" s="408" t="s">
        <v>29</v>
      </c>
      <c r="D107" s="19" t="s">
        <v>24</v>
      </c>
      <c r="E107" s="613"/>
      <c r="F107" s="613"/>
      <c r="G107" s="11">
        <f t="shared" si="33"/>
        <v>0</v>
      </c>
      <c r="H107" s="447"/>
      <c r="I107" s="447"/>
      <c r="J107" s="151">
        <f>K107</f>
        <v>114206.08</v>
      </c>
      <c r="K107" s="151">
        <v>114206.08</v>
      </c>
      <c r="L107" s="429" t="s">
        <v>26</v>
      </c>
      <c r="M107" s="418" t="s">
        <v>26</v>
      </c>
      <c r="N107" s="430">
        <f>O107</f>
        <v>0</v>
      </c>
      <c r="O107" s="430">
        <f t="shared" ref="O107" si="40">G107*K107</f>
        <v>0</v>
      </c>
      <c r="P107" s="429" t="s">
        <v>26</v>
      </c>
      <c r="Q107" s="429"/>
      <c r="R107" s="418" t="s">
        <v>26</v>
      </c>
      <c r="S107" s="10"/>
      <c r="T107" s="150">
        <f>H107*K107</f>
        <v>0</v>
      </c>
      <c r="U107" s="150">
        <f>I107*K107</f>
        <v>0</v>
      </c>
    </row>
    <row r="108" spans="1:31" x14ac:dyDescent="0.25">
      <c r="A108" s="839"/>
      <c r="B108" s="834"/>
      <c r="C108" s="408" t="s">
        <v>34</v>
      </c>
      <c r="D108" s="19" t="s">
        <v>24</v>
      </c>
      <c r="E108" s="705">
        <f>2+2</f>
        <v>4</v>
      </c>
      <c r="F108" s="695">
        <v>5</v>
      </c>
      <c r="G108" s="448">
        <f>4</f>
        <v>4</v>
      </c>
      <c r="H108" s="424">
        <f>4</f>
        <v>4</v>
      </c>
      <c r="I108" s="424">
        <f>4</f>
        <v>4</v>
      </c>
      <c r="J108" s="151">
        <f>K108</f>
        <v>19898.91</v>
      </c>
      <c r="K108" s="151">
        <v>19898.91</v>
      </c>
      <c r="L108" s="429" t="s">
        <v>26</v>
      </c>
      <c r="M108" s="418" t="s">
        <v>26</v>
      </c>
      <c r="N108" s="14">
        <f>O108</f>
        <v>79595.64</v>
      </c>
      <c r="O108" s="430">
        <f>G108*K108</f>
        <v>79595.64</v>
      </c>
      <c r="P108" s="429" t="s">
        <v>26</v>
      </c>
      <c r="Q108" s="429"/>
      <c r="R108" s="418" t="s">
        <v>26</v>
      </c>
      <c r="S108" s="10"/>
      <c r="T108" s="150">
        <f>H108*K108</f>
        <v>79595.64</v>
      </c>
      <c r="U108" s="150">
        <f>I108*K108</f>
        <v>79595.64</v>
      </c>
    </row>
    <row r="109" spans="1:31" ht="82.95" customHeight="1" x14ac:dyDescent="0.25">
      <c r="A109" s="839"/>
      <c r="B109" s="835"/>
      <c r="C109" s="408" t="s">
        <v>35</v>
      </c>
      <c r="D109" s="19" t="s">
        <v>24</v>
      </c>
      <c r="E109" s="613">
        <v>1</v>
      </c>
      <c r="F109" s="695">
        <v>1</v>
      </c>
      <c r="G109" s="448">
        <v>1</v>
      </c>
      <c r="H109" s="424">
        <v>1</v>
      </c>
      <c r="I109" s="424">
        <v>1</v>
      </c>
      <c r="J109" s="151">
        <f>SUM(K109:M109)</f>
        <v>353482.19</v>
      </c>
      <c r="K109" s="151">
        <f>314627.42+2750.57</f>
        <v>317377.99</v>
      </c>
      <c r="L109" s="387">
        <v>12910.13</v>
      </c>
      <c r="M109" s="484">
        <v>23194.07</v>
      </c>
      <c r="N109" s="398">
        <f>SUM(O109:R109)</f>
        <v>353482.19</v>
      </c>
      <c r="O109" s="430">
        <f>G109*K109</f>
        <v>317377.99</v>
      </c>
      <c r="P109" s="430">
        <f>G109*L109</f>
        <v>12910.13</v>
      </c>
      <c r="Q109" s="398"/>
      <c r="R109" s="151">
        <f>G109*M109</f>
        <v>23194.07</v>
      </c>
      <c r="S109" s="150"/>
      <c r="T109" s="150">
        <f>W109</f>
        <v>353482.19</v>
      </c>
      <c r="U109" s="150">
        <f>AB109</f>
        <v>353482.19</v>
      </c>
      <c r="W109" s="454">
        <f>SUM(X109:AA109)</f>
        <v>353482.19</v>
      </c>
      <c r="X109" s="398">
        <f>H109*K109</f>
        <v>317377.99</v>
      </c>
      <c r="Y109" s="14">
        <f>H109*L109</f>
        <v>12910.13</v>
      </c>
      <c r="Z109" s="398">
        <f>H109*M109</f>
        <v>23194.07</v>
      </c>
      <c r="AB109" s="454">
        <f>SUM(AC109:AF109)</f>
        <v>353482.19</v>
      </c>
      <c r="AC109" s="398">
        <f>I109*K109</f>
        <v>317377.99</v>
      </c>
      <c r="AD109" s="14">
        <f>I109*L109</f>
        <v>12910.13</v>
      </c>
      <c r="AE109" s="398">
        <f>I109*M109</f>
        <v>23194.07</v>
      </c>
    </row>
    <row r="110" spans="1:31" ht="13.95" customHeight="1" x14ac:dyDescent="0.25">
      <c r="A110" s="839"/>
      <c r="B110" s="405"/>
      <c r="C110" s="422" t="s">
        <v>58</v>
      </c>
      <c r="D110" s="19" t="s">
        <v>59</v>
      </c>
      <c r="E110" s="613">
        <v>11</v>
      </c>
      <c r="F110" s="613">
        <v>11</v>
      </c>
      <c r="G110" s="11">
        <f t="shared" si="33"/>
        <v>11</v>
      </c>
      <c r="H110" s="447">
        <v>11</v>
      </c>
      <c r="I110" s="447">
        <v>11</v>
      </c>
      <c r="J110" s="151">
        <f>SUM(K110:M110)</f>
        <v>234360</v>
      </c>
      <c r="K110" s="151">
        <f>10000*1.5*1.302*12</f>
        <v>234360</v>
      </c>
      <c r="L110" s="387"/>
      <c r="M110" s="14"/>
      <c r="N110" s="151">
        <f>SUM(O110:R110)</f>
        <v>2577960</v>
      </c>
      <c r="O110" s="484">
        <f>G110*K110</f>
        <v>2577960</v>
      </c>
      <c r="P110" s="430"/>
      <c r="Q110" s="398"/>
      <c r="R110" s="151"/>
      <c r="S110" s="150"/>
      <c r="T110" s="150">
        <f>H110*K110-2577960</f>
        <v>0</v>
      </c>
      <c r="U110" s="150">
        <f>I110*K110-2577960</f>
        <v>0</v>
      </c>
    </row>
    <row r="111" spans="1:31" ht="18" customHeight="1" x14ac:dyDescent="0.25">
      <c r="A111" s="839"/>
      <c r="B111" s="405"/>
      <c r="C111" s="423" t="s">
        <v>38</v>
      </c>
      <c r="D111" s="19"/>
      <c r="E111" s="614">
        <f>E102+E103+E109</f>
        <v>301</v>
      </c>
      <c r="F111" s="704">
        <f>F102+F103+F109</f>
        <v>297</v>
      </c>
      <c r="G111" s="697">
        <f>G102+G103+G109</f>
        <v>299</v>
      </c>
      <c r="H111" s="770">
        <f>H102+H103+H109</f>
        <v>304</v>
      </c>
      <c r="I111" s="770">
        <f>I102+I103+I109</f>
        <v>304</v>
      </c>
      <c r="J111" s="398" t="s">
        <v>26</v>
      </c>
      <c r="K111" s="398" t="s">
        <v>26</v>
      </c>
      <c r="L111" s="398" t="s">
        <v>26</v>
      </c>
      <c r="M111" s="151" t="s">
        <v>26</v>
      </c>
      <c r="N111" s="154">
        <f t="shared" ref="N111:U111" si="41">SUM(N102:N110)</f>
        <v>27780473.010000002</v>
      </c>
      <c r="O111" s="154">
        <f t="shared" si="41"/>
        <v>16985317.210000001</v>
      </c>
      <c r="P111" s="154">
        <f t="shared" si="41"/>
        <v>3860128.8699999996</v>
      </c>
      <c r="Q111" s="154">
        <f t="shared" si="41"/>
        <v>0</v>
      </c>
      <c r="R111" s="653">
        <f t="shared" si="41"/>
        <v>6935026.9299999997</v>
      </c>
      <c r="S111" s="154">
        <f t="shared" si="41"/>
        <v>0</v>
      </c>
      <c r="T111" s="154">
        <f t="shared" si="41"/>
        <v>25613623.910000004</v>
      </c>
      <c r="U111" s="154">
        <f t="shared" si="41"/>
        <v>25613623.910000004</v>
      </c>
      <c r="W111" s="1" t="s">
        <v>590</v>
      </c>
    </row>
    <row r="112" spans="1:31" ht="73.2" customHeight="1" x14ac:dyDescent="0.25">
      <c r="A112" s="839"/>
      <c r="B112" s="833" t="s">
        <v>113</v>
      </c>
      <c r="C112" s="22" t="s">
        <v>23</v>
      </c>
      <c r="D112" s="19" t="s">
        <v>24</v>
      </c>
      <c r="E112" s="613">
        <v>51</v>
      </c>
      <c r="F112" s="695">
        <v>49</v>
      </c>
      <c r="G112" s="448">
        <v>50</v>
      </c>
      <c r="H112" s="424">
        <v>50</v>
      </c>
      <c r="I112" s="424">
        <v>50</v>
      </c>
      <c r="J112" s="387">
        <f>SUM(K112:M112)</f>
        <v>89600.040000000008</v>
      </c>
      <c r="K112" s="387">
        <f>50769.44+2726.4</f>
        <v>53495.840000000004</v>
      </c>
      <c r="L112" s="387">
        <v>12910.13</v>
      </c>
      <c r="M112" s="484">
        <v>23194.07</v>
      </c>
      <c r="N112" s="151">
        <f>SUM(O112:R112)</f>
        <v>4480002</v>
      </c>
      <c r="O112" s="398">
        <f>G112*K112</f>
        <v>2674792</v>
      </c>
      <c r="P112" s="14">
        <f>G112*L112</f>
        <v>645506.5</v>
      </c>
      <c r="Q112" s="398"/>
      <c r="R112" s="151">
        <f>G112*M112</f>
        <v>1159703.5</v>
      </c>
      <c r="S112" s="150"/>
      <c r="T112" s="150">
        <f>W112</f>
        <v>4480002</v>
      </c>
      <c r="U112" s="150">
        <f>T112</f>
        <v>4480002</v>
      </c>
      <c r="W112" s="454">
        <f>SUM(X112:AA112)</f>
        <v>4480002</v>
      </c>
      <c r="X112" s="398">
        <f>H112*K112</f>
        <v>2674792</v>
      </c>
      <c r="Y112" s="618">
        <f>H112*L112</f>
        <v>645506.5</v>
      </c>
      <c r="Z112" s="398">
        <f>H112*M112</f>
        <v>1159703.5</v>
      </c>
    </row>
    <row r="113" spans="1:31" ht="82.8" x14ac:dyDescent="0.25">
      <c r="A113" s="839"/>
      <c r="B113" s="834"/>
      <c r="C113" s="408" t="s">
        <v>25</v>
      </c>
      <c r="D113" s="19" t="s">
        <v>24</v>
      </c>
      <c r="E113" s="11" t="s">
        <v>26</v>
      </c>
      <c r="F113" s="11" t="s">
        <v>26</v>
      </c>
      <c r="G113" s="11" t="s">
        <v>26</v>
      </c>
      <c r="H113" s="418" t="s">
        <v>26</v>
      </c>
      <c r="I113" s="418" t="s">
        <v>26</v>
      </c>
      <c r="J113" s="429" t="s">
        <v>26</v>
      </c>
      <c r="K113" s="429" t="s">
        <v>26</v>
      </c>
      <c r="L113" s="429" t="s">
        <v>26</v>
      </c>
      <c r="M113" s="418" t="s">
        <v>26</v>
      </c>
      <c r="N113" s="430"/>
      <c r="O113" s="430"/>
      <c r="P113" s="429" t="s">
        <v>26</v>
      </c>
      <c r="Q113" s="429"/>
      <c r="R113" s="418" t="s">
        <v>26</v>
      </c>
      <c r="S113" s="10"/>
      <c r="T113" s="150"/>
      <c r="U113" s="150"/>
    </row>
    <row r="114" spans="1:31" x14ac:dyDescent="0.25">
      <c r="A114" s="839"/>
      <c r="B114" s="834"/>
      <c r="C114" s="408" t="s">
        <v>57</v>
      </c>
      <c r="D114" s="19" t="s">
        <v>24</v>
      </c>
      <c r="E114" s="11">
        <f>1-1</f>
        <v>0</v>
      </c>
      <c r="F114" s="11">
        <f>1-1</f>
        <v>0</v>
      </c>
      <c r="G114" s="619">
        <f t="shared" si="33"/>
        <v>0</v>
      </c>
      <c r="H114" s="418">
        <f>1-1</f>
        <v>0</v>
      </c>
      <c r="I114" s="418">
        <f>1-1</f>
        <v>0</v>
      </c>
      <c r="J114" s="151">
        <f>K114</f>
        <v>85299.520000000004</v>
      </c>
      <c r="K114" s="482">
        <v>85299.520000000004</v>
      </c>
      <c r="L114" s="429" t="s">
        <v>26</v>
      </c>
      <c r="M114" s="418" t="s">
        <v>26</v>
      </c>
      <c r="N114" s="430">
        <f>O114</f>
        <v>0</v>
      </c>
      <c r="O114" s="430">
        <f>G114*K114</f>
        <v>0</v>
      </c>
      <c r="P114" s="429" t="s">
        <v>26</v>
      </c>
      <c r="Q114" s="429"/>
      <c r="R114" s="418" t="s">
        <v>26</v>
      </c>
      <c r="S114" s="10"/>
      <c r="T114" s="150">
        <f>H114*K114</f>
        <v>0</v>
      </c>
      <c r="U114" s="150">
        <f>I114*K114</f>
        <v>0</v>
      </c>
    </row>
    <row r="115" spans="1:31" x14ac:dyDescent="0.25">
      <c r="A115" s="839"/>
      <c r="B115" s="834"/>
      <c r="C115" s="408" t="s">
        <v>29</v>
      </c>
      <c r="D115" s="19" t="s">
        <v>24</v>
      </c>
      <c r="E115" s="414"/>
      <c r="F115" s="414"/>
      <c r="G115" s="10">
        <f t="shared" si="33"/>
        <v>0</v>
      </c>
      <c r="H115" s="415">
        <v>0</v>
      </c>
      <c r="I115" s="415">
        <v>0</v>
      </c>
      <c r="J115" s="151">
        <f>K115</f>
        <v>116417.19</v>
      </c>
      <c r="K115" s="151">
        <v>116417.19</v>
      </c>
      <c r="L115" s="429" t="s">
        <v>26</v>
      </c>
      <c r="M115" s="418" t="s">
        <v>26</v>
      </c>
      <c r="N115" s="430">
        <f>O115</f>
        <v>0</v>
      </c>
      <c r="O115" s="430">
        <f>G115*K115</f>
        <v>0</v>
      </c>
      <c r="P115" s="429" t="s">
        <v>26</v>
      </c>
      <c r="Q115" s="429" t="s">
        <v>26</v>
      </c>
      <c r="R115" s="418" t="s">
        <v>26</v>
      </c>
      <c r="S115" s="10"/>
      <c r="T115" s="150">
        <f>H115*K115</f>
        <v>0</v>
      </c>
      <c r="U115" s="150">
        <f>I115*K115</f>
        <v>0</v>
      </c>
    </row>
    <row r="116" spans="1:31" x14ac:dyDescent="0.25">
      <c r="A116" s="839"/>
      <c r="B116" s="834"/>
      <c r="C116" s="408" t="s">
        <v>34</v>
      </c>
      <c r="D116" s="19" t="s">
        <v>24</v>
      </c>
      <c r="E116" s="414"/>
      <c r="F116" s="414"/>
      <c r="G116" s="11">
        <f t="shared" si="33"/>
        <v>0</v>
      </c>
      <c r="H116" s="415"/>
      <c r="I116" s="415"/>
      <c r="J116" s="151">
        <f>K116</f>
        <v>19898.91</v>
      </c>
      <c r="K116" s="151">
        <v>19898.91</v>
      </c>
      <c r="L116" s="429" t="s">
        <v>26</v>
      </c>
      <c r="M116" s="485">
        <v>23194.07</v>
      </c>
      <c r="N116" s="430">
        <f>O116</f>
        <v>0</v>
      </c>
      <c r="O116" s="430">
        <f>G116*K116</f>
        <v>0</v>
      </c>
      <c r="P116" s="429" t="s">
        <v>26</v>
      </c>
      <c r="Q116" s="429"/>
      <c r="R116" s="418" t="s">
        <v>26</v>
      </c>
      <c r="S116" s="10"/>
      <c r="T116" s="150">
        <f>H116*K116</f>
        <v>0</v>
      </c>
      <c r="U116" s="150">
        <f>I116*K116</f>
        <v>0</v>
      </c>
    </row>
    <row r="117" spans="1:31" ht="82.95" customHeight="1" x14ac:dyDescent="0.25">
      <c r="A117" s="839"/>
      <c r="B117" s="835"/>
      <c r="C117" s="408" t="s">
        <v>35</v>
      </c>
      <c r="D117" s="19" t="s">
        <v>24</v>
      </c>
      <c r="E117" s="414"/>
      <c r="F117" s="414"/>
      <c r="G117" s="10">
        <f t="shared" si="33"/>
        <v>0</v>
      </c>
      <c r="H117" s="415">
        <v>0</v>
      </c>
      <c r="I117" s="415">
        <v>0</v>
      </c>
      <c r="J117" s="151">
        <f>SUM(K117:M117)</f>
        <v>388069.85000000003</v>
      </c>
      <c r="K117" s="151">
        <f>349239.25+2726.4</f>
        <v>351965.65</v>
      </c>
      <c r="L117" s="387">
        <v>12910.13</v>
      </c>
      <c r="M117" s="485">
        <v>23194.07</v>
      </c>
      <c r="N117" s="398">
        <f>SUM(O117:R117)</f>
        <v>0</v>
      </c>
      <c r="O117" s="430">
        <f>G117*K117</f>
        <v>0</v>
      </c>
      <c r="P117" s="430">
        <f>G117*L117</f>
        <v>0</v>
      </c>
      <c r="Q117" s="398"/>
      <c r="R117" s="151">
        <f>G117*M117</f>
        <v>0</v>
      </c>
      <c r="S117" s="399"/>
      <c r="T117" s="150">
        <f>W117</f>
        <v>0</v>
      </c>
      <c r="U117" s="150">
        <f>AB117</f>
        <v>0</v>
      </c>
      <c r="W117" s="454">
        <f>SUM(X117:AA117)</f>
        <v>0</v>
      </c>
      <c r="X117" s="398">
        <f>H117*K117</f>
        <v>0</v>
      </c>
      <c r="Y117" s="14">
        <f>H117*L117</f>
        <v>0</v>
      </c>
      <c r="Z117" s="398">
        <f>H117*M117</f>
        <v>0</v>
      </c>
      <c r="AB117" s="454">
        <f>SUM(AC117:AF117)</f>
        <v>0</v>
      </c>
      <c r="AC117" s="398">
        <f>I117*K117</f>
        <v>0</v>
      </c>
      <c r="AD117" s="14">
        <f>I117*L117</f>
        <v>0</v>
      </c>
      <c r="AE117" s="398">
        <f>I117*M117</f>
        <v>0</v>
      </c>
    </row>
    <row r="118" spans="1:31" ht="13.95" customHeight="1" x14ac:dyDescent="0.25">
      <c r="A118" s="839"/>
      <c r="B118" s="405"/>
      <c r="C118" s="422" t="s">
        <v>58</v>
      </c>
      <c r="D118" s="19" t="s">
        <v>59</v>
      </c>
      <c r="E118" s="613">
        <v>2</v>
      </c>
      <c r="F118" s="613">
        <v>2</v>
      </c>
      <c r="G118" s="11">
        <f t="shared" si="33"/>
        <v>2</v>
      </c>
      <c r="H118" s="447">
        <v>2</v>
      </c>
      <c r="I118" s="447">
        <v>2</v>
      </c>
      <c r="J118" s="151">
        <f>SUM(K118:M118)</f>
        <v>234360</v>
      </c>
      <c r="K118" s="151">
        <f>10000*1.5*1.302*12</f>
        <v>234360</v>
      </c>
      <c r="L118" s="387"/>
      <c r="M118" s="14"/>
      <c r="N118" s="454">
        <f>SUM(O118:R118)</f>
        <v>468720</v>
      </c>
      <c r="O118" s="484">
        <f>G118*K118</f>
        <v>468720</v>
      </c>
      <c r="P118" s="430"/>
      <c r="Q118" s="398"/>
      <c r="R118" s="151"/>
      <c r="S118" s="399"/>
      <c r="T118" s="150">
        <f>H118*K118-468720</f>
        <v>0</v>
      </c>
      <c r="U118" s="150">
        <f>I118*K118-468720</f>
        <v>0</v>
      </c>
    </row>
    <row r="119" spans="1:31" ht="22.2" customHeight="1" x14ac:dyDescent="0.25">
      <c r="A119" s="839"/>
      <c r="B119" s="405"/>
      <c r="C119" s="423" t="s">
        <v>38</v>
      </c>
      <c r="D119" s="19"/>
      <c r="E119" s="613">
        <f>E112+E117</f>
        <v>51</v>
      </c>
      <c r="F119" s="704">
        <f>F112+F117</f>
        <v>49</v>
      </c>
      <c r="G119" s="614">
        <f>G112+G117</f>
        <v>50</v>
      </c>
      <c r="H119" s="616">
        <f>H112+H117</f>
        <v>50</v>
      </c>
      <c r="I119" s="616">
        <f>I112+I117</f>
        <v>50</v>
      </c>
      <c r="J119" s="398" t="s">
        <v>26</v>
      </c>
      <c r="K119" s="398" t="s">
        <v>26</v>
      </c>
      <c r="L119" s="398" t="s">
        <v>26</v>
      </c>
      <c r="M119" s="151" t="s">
        <v>26</v>
      </c>
      <c r="N119" s="154">
        <f>SUM(N112:N118)</f>
        <v>4948722</v>
      </c>
      <c r="O119" s="154">
        <f t="shared" ref="O119:U119" si="42">SUM(O112:O118)</f>
        <v>3143512</v>
      </c>
      <c r="P119" s="154">
        <f t="shared" si="42"/>
        <v>645506.5</v>
      </c>
      <c r="Q119" s="154">
        <f t="shared" si="42"/>
        <v>0</v>
      </c>
      <c r="R119" s="653">
        <f>SUM(R112:R118)</f>
        <v>1159703.5</v>
      </c>
      <c r="S119" s="154">
        <f t="shared" si="42"/>
        <v>0</v>
      </c>
      <c r="T119" s="154">
        <f t="shared" si="42"/>
        <v>4480002</v>
      </c>
      <c r="U119" s="154">
        <f t="shared" si="42"/>
        <v>4480002</v>
      </c>
      <c r="X119" s="25"/>
    </row>
    <row r="120" spans="1:31" ht="56.4" customHeight="1" x14ac:dyDescent="0.25">
      <c r="A120" s="839"/>
      <c r="B120" s="817" t="s">
        <v>115</v>
      </c>
      <c r="C120" s="815" t="s">
        <v>41</v>
      </c>
      <c r="D120" s="19" t="s">
        <v>24</v>
      </c>
      <c r="E120" s="705">
        <f>1554+194+235</f>
        <v>1983</v>
      </c>
      <c r="F120" s="695">
        <f>1554+194</f>
        <v>1748</v>
      </c>
      <c r="G120" s="11">
        <f>((E120*8)+(F120*4))/12</f>
        <v>1904.6666666666667</v>
      </c>
      <c r="H120" s="447">
        <f>1554+194+157</f>
        <v>1905</v>
      </c>
      <c r="I120" s="447">
        <f>1554+194+157</f>
        <v>1905</v>
      </c>
      <c r="J120" s="151">
        <f>K120</f>
        <v>4592.9799999999996</v>
      </c>
      <c r="K120" s="151">
        <v>4592.9799999999996</v>
      </c>
      <c r="L120" s="151" t="s">
        <v>26</v>
      </c>
      <c r="M120" s="151" t="s">
        <v>26</v>
      </c>
      <c r="N120" s="398">
        <f>SUM(O120:R120)</f>
        <v>8748095.9066666663</v>
      </c>
      <c r="O120" s="398">
        <f>G120*K120</f>
        <v>8748095.9066666663</v>
      </c>
      <c r="P120" s="398" t="s">
        <v>26</v>
      </c>
      <c r="Q120" s="398"/>
      <c r="R120" s="151" t="s">
        <v>26</v>
      </c>
      <c r="S120" s="399"/>
      <c r="T120" s="150">
        <f>H120*K120</f>
        <v>8749626.8999999985</v>
      </c>
      <c r="U120" s="150">
        <f>I120*K120</f>
        <v>8749626.8999999985</v>
      </c>
    </row>
    <row r="121" spans="1:31" ht="43.2" customHeight="1" x14ac:dyDescent="0.25">
      <c r="A121" s="839"/>
      <c r="B121" s="818"/>
      <c r="C121" s="816"/>
      <c r="D121" s="436" t="s">
        <v>235</v>
      </c>
      <c r="E121" s="709">
        <f>95983-1214</f>
        <v>94769</v>
      </c>
      <c r="F121" s="710">
        <v>95983</v>
      </c>
      <c r="G121" s="708">
        <v>95174</v>
      </c>
      <c r="H121" s="714">
        <v>95174</v>
      </c>
      <c r="I121" s="714">
        <v>95174</v>
      </c>
      <c r="J121" s="397">
        <f>K121</f>
        <v>91.916867071539144</v>
      </c>
      <c r="K121" s="397">
        <f>N121/G121</f>
        <v>91.916867071539144</v>
      </c>
      <c r="L121" s="397" t="s">
        <v>26</v>
      </c>
      <c r="M121" s="397" t="s">
        <v>26</v>
      </c>
      <c r="N121" s="396">
        <f>N120</f>
        <v>8748095.9066666663</v>
      </c>
      <c r="O121" s="396">
        <f>O120</f>
        <v>8748095.9066666663</v>
      </c>
      <c r="P121" s="396" t="s">
        <v>26</v>
      </c>
      <c r="Q121" s="396"/>
      <c r="R121" s="397" t="s">
        <v>26</v>
      </c>
      <c r="S121" s="396"/>
      <c r="T121" s="397">
        <f>T120/G121*H121</f>
        <v>8749626.8999999985</v>
      </c>
      <c r="U121" s="397">
        <f>U120/G121*I121</f>
        <v>8749626.8999999985</v>
      </c>
    </row>
    <row r="122" spans="1:31" ht="20.399999999999999" customHeight="1" x14ac:dyDescent="0.25">
      <c r="A122" s="839"/>
      <c r="B122" s="393"/>
      <c r="C122" s="423" t="s">
        <v>38</v>
      </c>
      <c r="D122" s="412"/>
      <c r="E122" s="613">
        <f>SUM(E120:E120)</f>
        <v>1983</v>
      </c>
      <c r="F122" s="613">
        <f>SUM(F120:F120)</f>
        <v>1748</v>
      </c>
      <c r="G122" s="613">
        <f>SUM(G120:G120)</f>
        <v>1904.6666666666667</v>
      </c>
      <c r="H122" s="447">
        <f>SUM(H120:H120)</f>
        <v>1905</v>
      </c>
      <c r="I122" s="447">
        <f>SUM(I120:I120)</f>
        <v>1905</v>
      </c>
      <c r="J122" s="398" t="s">
        <v>26</v>
      </c>
      <c r="K122" s="398" t="s">
        <v>26</v>
      </c>
      <c r="L122" s="398" t="s">
        <v>26</v>
      </c>
      <c r="M122" s="151">
        <f t="shared" ref="M122:R122" si="43">SUM(M120:M120)</f>
        <v>0</v>
      </c>
      <c r="N122" s="154">
        <f t="shared" si="43"/>
        <v>8748095.9066666663</v>
      </c>
      <c r="O122" s="398">
        <f>SUM(O120:O120)</f>
        <v>8748095.9066666663</v>
      </c>
      <c r="P122" s="398">
        <f t="shared" si="43"/>
        <v>0</v>
      </c>
      <c r="Q122" s="398"/>
      <c r="R122" s="151">
        <f t="shared" si="43"/>
        <v>0</v>
      </c>
      <c r="S122" s="399"/>
      <c r="T122" s="150">
        <f>T120</f>
        <v>8749626.8999999985</v>
      </c>
      <c r="U122" s="150">
        <f>U120</f>
        <v>8749626.8999999985</v>
      </c>
    </row>
    <row r="123" spans="1:31" ht="27.6" x14ac:dyDescent="0.25">
      <c r="A123" s="839"/>
      <c r="B123" s="411" t="s">
        <v>45</v>
      </c>
      <c r="C123" s="27" t="s">
        <v>44</v>
      </c>
      <c r="D123" s="413" t="s">
        <v>46</v>
      </c>
      <c r="E123" s="613">
        <v>8</v>
      </c>
      <c r="F123" s="613">
        <v>8</v>
      </c>
      <c r="G123" s="11">
        <f t="shared" si="33"/>
        <v>8</v>
      </c>
      <c r="H123" s="447">
        <v>8</v>
      </c>
      <c r="I123" s="447">
        <v>8</v>
      </c>
      <c r="J123" s="398"/>
      <c r="K123" s="398"/>
      <c r="L123" s="398">
        <v>388918.35</v>
      </c>
      <c r="M123" s="151"/>
      <c r="N123" s="398">
        <f>P123</f>
        <v>3111346.8</v>
      </c>
      <c r="O123" s="398"/>
      <c r="P123" s="398">
        <f>G123*L123</f>
        <v>3111346.8</v>
      </c>
      <c r="Q123" s="398"/>
      <c r="R123" s="151"/>
      <c r="S123" s="399"/>
      <c r="T123" s="150">
        <f>H123*L123</f>
        <v>3111346.8</v>
      </c>
      <c r="U123" s="150">
        <f>I123*L123</f>
        <v>3111346.8</v>
      </c>
    </row>
    <row r="124" spans="1:31" ht="27.6" x14ac:dyDescent="0.25">
      <c r="A124" s="839"/>
      <c r="B124" s="411" t="s">
        <v>45</v>
      </c>
      <c r="C124" s="27" t="s">
        <v>44</v>
      </c>
      <c r="D124" s="413" t="s">
        <v>46</v>
      </c>
      <c r="E124" s="613">
        <v>1</v>
      </c>
      <c r="F124" s="613">
        <v>1</v>
      </c>
      <c r="G124" s="11">
        <f t="shared" si="33"/>
        <v>1</v>
      </c>
      <c r="H124" s="447">
        <v>1</v>
      </c>
      <c r="I124" s="447">
        <v>1</v>
      </c>
      <c r="J124" s="398"/>
      <c r="K124" s="398"/>
      <c r="L124" s="398">
        <v>419011.08</v>
      </c>
      <c r="M124" s="151"/>
      <c r="N124" s="398">
        <f>P124</f>
        <v>419011.08</v>
      </c>
      <c r="O124" s="398"/>
      <c r="P124" s="398">
        <f>G124*L124</f>
        <v>419011.08</v>
      </c>
      <c r="Q124" s="398"/>
      <c r="R124" s="151"/>
      <c r="S124" s="399"/>
      <c r="T124" s="150">
        <f>H124*L124</f>
        <v>419011.08</v>
      </c>
      <c r="U124" s="150">
        <f>I124*L124</f>
        <v>419011.08</v>
      </c>
    </row>
    <row r="125" spans="1:31" hidden="1" x14ac:dyDescent="0.25">
      <c r="A125" s="839"/>
      <c r="B125" s="410" t="s">
        <v>53</v>
      </c>
      <c r="C125" s="27" t="s">
        <v>44</v>
      </c>
      <c r="D125" s="19" t="s">
        <v>24</v>
      </c>
      <c r="E125" s="613">
        <v>1</v>
      </c>
      <c r="F125" s="613">
        <v>1</v>
      </c>
      <c r="G125" s="613">
        <v>1</v>
      </c>
      <c r="H125" s="447">
        <v>1</v>
      </c>
      <c r="I125" s="447">
        <v>1</v>
      </c>
      <c r="J125" s="398"/>
      <c r="K125" s="398"/>
      <c r="L125" s="398"/>
      <c r="M125" s="151"/>
      <c r="N125" s="398">
        <f>Q125</f>
        <v>0</v>
      </c>
      <c r="O125" s="398"/>
      <c r="P125" s="398"/>
      <c r="Q125" s="398"/>
      <c r="R125" s="151"/>
      <c r="S125" s="399"/>
      <c r="T125" s="150"/>
      <c r="U125" s="150">
        <f t="shared" ref="U125:U128" si="44">T125</f>
        <v>0</v>
      </c>
      <c r="V125" s="25"/>
      <c r="W125" s="25"/>
    </row>
    <row r="126" spans="1:31" ht="13.95" hidden="1" customHeight="1" x14ac:dyDescent="0.25">
      <c r="A126" s="839"/>
      <c r="B126" s="410" t="s">
        <v>55</v>
      </c>
      <c r="C126" s="27" t="s">
        <v>54</v>
      </c>
      <c r="D126" s="19"/>
      <c r="E126" s="613"/>
      <c r="F126" s="613"/>
      <c r="G126" s="613"/>
      <c r="H126" s="447"/>
      <c r="I126" s="447"/>
      <c r="J126" s="398"/>
      <c r="K126" s="398"/>
      <c r="L126" s="398"/>
      <c r="M126" s="151"/>
      <c r="N126" s="398">
        <f>O126+P126+Q126+R126+S126</f>
        <v>0</v>
      </c>
      <c r="O126" s="398"/>
      <c r="P126" s="398"/>
      <c r="Q126" s="398"/>
      <c r="R126" s="151"/>
      <c r="S126" s="399"/>
      <c r="T126" s="150"/>
      <c r="U126" s="150"/>
    </row>
    <row r="127" spans="1:31" ht="19.2" customHeight="1" x14ac:dyDescent="0.25">
      <c r="A127" s="839"/>
      <c r="B127" s="410" t="s">
        <v>47</v>
      </c>
      <c r="C127" s="27" t="s">
        <v>44</v>
      </c>
      <c r="D127" s="19"/>
      <c r="E127" s="613">
        <v>21</v>
      </c>
      <c r="F127" s="613">
        <v>21</v>
      </c>
      <c r="G127" s="613">
        <v>21</v>
      </c>
      <c r="H127" s="447">
        <v>21</v>
      </c>
      <c r="I127" s="447">
        <v>21</v>
      </c>
      <c r="J127" s="398"/>
      <c r="K127" s="398"/>
      <c r="L127" s="398"/>
      <c r="M127" s="151"/>
      <c r="N127" s="454">
        <f>SUM(O127:R127)</f>
        <v>4921560</v>
      </c>
      <c r="O127" s="151">
        <f>O118+O110+O100</f>
        <v>4921560</v>
      </c>
      <c r="P127" s="398"/>
      <c r="Q127" s="398"/>
      <c r="R127" s="151"/>
      <c r="S127" s="399"/>
      <c r="T127" s="150">
        <f>T118+T110+T100</f>
        <v>0</v>
      </c>
      <c r="U127" s="150">
        <f>U118+U110+U100</f>
        <v>0</v>
      </c>
    </row>
    <row r="128" spans="1:31" ht="13.95" hidden="1" customHeight="1" x14ac:dyDescent="0.25">
      <c r="A128" s="839"/>
      <c r="B128" s="410" t="s">
        <v>48</v>
      </c>
      <c r="C128" s="28" t="s">
        <v>44</v>
      </c>
      <c r="D128" s="19"/>
      <c r="E128" s="613"/>
      <c r="F128" s="613"/>
      <c r="G128" s="613"/>
      <c r="H128" s="447"/>
      <c r="I128" s="447"/>
      <c r="J128" s="398"/>
      <c r="K128" s="398"/>
      <c r="L128" s="398"/>
      <c r="M128" s="151"/>
      <c r="N128" s="398">
        <f>O128+P128+Q128+R128+S128</f>
        <v>0</v>
      </c>
      <c r="O128" s="398"/>
      <c r="P128" s="398"/>
      <c r="Q128" s="398"/>
      <c r="R128" s="151"/>
      <c r="S128" s="399"/>
      <c r="T128" s="150">
        <f>O128</f>
        <v>0</v>
      </c>
      <c r="U128" s="150">
        <f t="shared" si="44"/>
        <v>0</v>
      </c>
    </row>
    <row r="129" spans="1:31" ht="13.95" hidden="1" customHeight="1" x14ac:dyDescent="0.25">
      <c r="A129" s="839"/>
      <c r="B129" s="410" t="s">
        <v>49</v>
      </c>
      <c r="C129" s="28" t="s">
        <v>44</v>
      </c>
      <c r="D129" s="19"/>
      <c r="E129" s="613"/>
      <c r="F129" s="613"/>
      <c r="G129" s="613"/>
      <c r="H129" s="447"/>
      <c r="I129" s="447"/>
      <c r="J129" s="398"/>
      <c r="K129" s="398"/>
      <c r="L129" s="398"/>
      <c r="M129" s="151"/>
      <c r="N129" s="398">
        <f>P129</f>
        <v>0</v>
      </c>
      <c r="O129" s="398"/>
      <c r="P129" s="398"/>
      <c r="Q129" s="398"/>
      <c r="R129" s="151"/>
      <c r="S129" s="399"/>
      <c r="T129" s="150"/>
      <c r="U129" s="150">
        <f>T129</f>
        <v>0</v>
      </c>
    </row>
    <row r="130" spans="1:31" ht="23.4" customHeight="1" x14ac:dyDescent="0.25">
      <c r="A130" s="839"/>
      <c r="B130" s="426" t="s">
        <v>50</v>
      </c>
      <c r="C130" s="412"/>
      <c r="D130" s="412"/>
      <c r="E130" s="614">
        <f>E101+E111+E119</f>
        <v>573</v>
      </c>
      <c r="F130" s="712">
        <f>F101+F111+F119</f>
        <v>555</v>
      </c>
      <c r="G130" s="697">
        <f>G101+G111+G119</f>
        <v>566</v>
      </c>
      <c r="H130" s="770">
        <f>H101+H111+H119</f>
        <v>574</v>
      </c>
      <c r="I130" s="770">
        <f>I101+I111+I119</f>
        <v>574</v>
      </c>
      <c r="J130" s="416"/>
      <c r="K130" s="416"/>
      <c r="L130" s="416"/>
      <c r="M130" s="154"/>
      <c r="N130" s="416">
        <f>SUM(O130:S130)</f>
        <v>67462842.506666675</v>
      </c>
      <c r="O130" s="416">
        <f>O101+O111+O119+O122+O128</f>
        <v>43497507.42666667</v>
      </c>
      <c r="P130" s="154">
        <f>P101+P111+P119+P122+P123+P124+P125+P129</f>
        <v>10837491.459999999</v>
      </c>
      <c r="Q130" s="416">
        <f>Q101+Q111+Q119+Q122+Q123+Q124+Q125</f>
        <v>0</v>
      </c>
      <c r="R130" s="653">
        <f>R101+R111+R119+R122+R123+R124+R125+R126</f>
        <v>13127843.619999999</v>
      </c>
      <c r="S130" s="425">
        <f>S101+S111+S119+S122+S123+S124+S125+S126</f>
        <v>0</v>
      </c>
      <c r="T130" s="425">
        <f>T101+T111+T119+T122+T123+T124+T125+T126+T128+T129</f>
        <v>63153709.699999996</v>
      </c>
      <c r="U130" s="425">
        <f>U101+U111+U119+U122+U123+U124+U125+U126+U128+U129</f>
        <v>63153709.699999996</v>
      </c>
      <c r="V130" s="25"/>
      <c r="W130" s="1" t="s">
        <v>590</v>
      </c>
      <c r="AA130" s="25"/>
      <c r="AB130" s="25"/>
    </row>
    <row r="131" spans="1:31" ht="75" customHeight="1" x14ac:dyDescent="0.25">
      <c r="A131" s="827" t="s">
        <v>60</v>
      </c>
      <c r="B131" s="833" t="s">
        <v>112</v>
      </c>
      <c r="C131" s="22" t="s">
        <v>23</v>
      </c>
      <c r="D131" s="19" t="s">
        <v>24</v>
      </c>
      <c r="E131" s="418">
        <v>206</v>
      </c>
      <c r="F131" s="418">
        <f>206-15</f>
        <v>191</v>
      </c>
      <c r="G131" s="766">
        <v>201</v>
      </c>
      <c r="H131" s="766">
        <v>201</v>
      </c>
      <c r="I131" s="766">
        <v>201</v>
      </c>
      <c r="J131" s="387">
        <f>SUM(K131:M131)</f>
        <v>67159.570000000007</v>
      </c>
      <c r="K131" s="387">
        <f>28292.04+2198.86</f>
        <v>30490.9</v>
      </c>
      <c r="L131" s="387">
        <v>13474.6</v>
      </c>
      <c r="M131" s="485">
        <v>23194.07</v>
      </c>
      <c r="N131" s="484">
        <f>SUM(O131:R131)</f>
        <v>13499073.57</v>
      </c>
      <c r="O131" s="430">
        <f>G131*K131</f>
        <v>6128670.9000000004</v>
      </c>
      <c r="P131" s="430">
        <f>G131*L131</f>
        <v>2708394.6</v>
      </c>
      <c r="Q131" s="430"/>
      <c r="R131" s="151">
        <f>G131*M131</f>
        <v>4662008.07</v>
      </c>
      <c r="S131" s="150"/>
      <c r="T131" s="150">
        <f>W131</f>
        <v>13499073.57</v>
      </c>
      <c r="U131" s="150">
        <f>AB131</f>
        <v>13499073.57</v>
      </c>
      <c r="W131" s="454">
        <f>SUM(X131:AA131)</f>
        <v>13499073.57</v>
      </c>
      <c r="X131" s="398">
        <f>H131*K131</f>
        <v>6128670.9000000004</v>
      </c>
      <c r="Y131" s="499">
        <f>H131*L131</f>
        <v>2708394.6</v>
      </c>
      <c r="Z131" s="398">
        <f>H131*M131</f>
        <v>4662008.07</v>
      </c>
      <c r="AB131" s="454">
        <f>SUM(AC131:AF131)</f>
        <v>13499073.57</v>
      </c>
      <c r="AC131" s="398">
        <f>I131*K131</f>
        <v>6128670.9000000004</v>
      </c>
      <c r="AD131" s="808">
        <f>I131*L131</f>
        <v>2708394.6</v>
      </c>
      <c r="AE131" s="398">
        <f>I131*M131</f>
        <v>4662008.07</v>
      </c>
    </row>
    <row r="132" spans="1:31" ht="89.4" customHeight="1" x14ac:dyDescent="0.25">
      <c r="A132" s="828"/>
      <c r="B132" s="834"/>
      <c r="C132" s="22" t="s">
        <v>25</v>
      </c>
      <c r="D132" s="19" t="s">
        <v>24</v>
      </c>
      <c r="E132" s="11" t="s">
        <v>26</v>
      </c>
      <c r="F132" s="11" t="s">
        <v>26</v>
      </c>
      <c r="G132" s="11" t="s">
        <v>26</v>
      </c>
      <c r="H132" s="418" t="s">
        <v>26</v>
      </c>
      <c r="I132" s="418" t="s">
        <v>26</v>
      </c>
      <c r="J132" s="429" t="s">
        <v>26</v>
      </c>
      <c r="K132" s="429" t="s">
        <v>26</v>
      </c>
      <c r="L132" s="429" t="s">
        <v>26</v>
      </c>
      <c r="M132" s="418" t="s">
        <v>26</v>
      </c>
      <c r="N132" s="430"/>
      <c r="O132" s="430"/>
      <c r="P132" s="429" t="s">
        <v>26</v>
      </c>
      <c r="Q132" s="429"/>
      <c r="R132" s="418" t="s">
        <v>26</v>
      </c>
      <c r="S132" s="10"/>
      <c r="T132" s="150"/>
      <c r="U132" s="150"/>
    </row>
    <row r="133" spans="1:31" x14ac:dyDescent="0.25">
      <c r="A133" s="828"/>
      <c r="B133" s="834"/>
      <c r="C133" s="388" t="s">
        <v>27</v>
      </c>
      <c r="D133" s="19" t="s">
        <v>24</v>
      </c>
      <c r="E133" s="11"/>
      <c r="F133" s="11">
        <v>1</v>
      </c>
      <c r="G133" s="448">
        <v>1</v>
      </c>
      <c r="H133" s="766">
        <v>1</v>
      </c>
      <c r="I133" s="766">
        <v>1</v>
      </c>
      <c r="J133" s="151">
        <f t="shared" ref="J133:J140" si="45">K133</f>
        <v>131161.82999999999</v>
      </c>
      <c r="K133" s="430">
        <v>131161.82999999999</v>
      </c>
      <c r="L133" s="429" t="s">
        <v>26</v>
      </c>
      <c r="M133" s="418" t="s">
        <v>26</v>
      </c>
      <c r="N133" s="430">
        <f t="shared" ref="N133:N140" si="46">O133</f>
        <v>131161.82999999999</v>
      </c>
      <c r="O133" s="430">
        <f>G133*K133</f>
        <v>131161.82999999999</v>
      </c>
      <c r="P133" s="429" t="s">
        <v>26</v>
      </c>
      <c r="Q133" s="429"/>
      <c r="R133" s="418" t="s">
        <v>26</v>
      </c>
      <c r="S133" s="10"/>
      <c r="T133" s="150">
        <f t="shared" ref="T133:T140" si="47">H133*K133</f>
        <v>131161.82999999999</v>
      </c>
      <c r="U133" s="150">
        <f t="shared" ref="U133:U140" si="48">I133*K133</f>
        <v>131161.82999999999</v>
      </c>
    </row>
    <row r="134" spans="1:31" x14ac:dyDescent="0.25">
      <c r="A134" s="828"/>
      <c r="B134" s="834"/>
      <c r="C134" s="388" t="s">
        <v>28</v>
      </c>
      <c r="D134" s="19" t="s">
        <v>24</v>
      </c>
      <c r="E134" s="707">
        <f>19-2</f>
        <v>17</v>
      </c>
      <c r="F134" s="11">
        <f>19-2</f>
        <v>17</v>
      </c>
      <c r="G134" s="448">
        <v>17</v>
      </c>
      <c r="H134" s="766">
        <f>17</f>
        <v>17</v>
      </c>
      <c r="I134" s="766">
        <f>17</f>
        <v>17</v>
      </c>
      <c r="J134" s="151">
        <f t="shared" si="45"/>
        <v>148317.25</v>
      </c>
      <c r="K134" s="430">
        <v>148317.25</v>
      </c>
      <c r="L134" s="429" t="s">
        <v>26</v>
      </c>
      <c r="M134" s="418" t="s">
        <v>26</v>
      </c>
      <c r="N134" s="430">
        <f t="shared" si="46"/>
        <v>2521393.25</v>
      </c>
      <c r="O134" s="430">
        <f t="shared" ref="O134:O140" si="49">G134*K134</f>
        <v>2521393.25</v>
      </c>
      <c r="P134" s="429" t="s">
        <v>26</v>
      </c>
      <c r="Q134" s="429"/>
      <c r="R134" s="418" t="s">
        <v>26</v>
      </c>
      <c r="S134" s="10"/>
      <c r="T134" s="150">
        <f t="shared" si="47"/>
        <v>2521393.25</v>
      </c>
      <c r="U134" s="150">
        <f t="shared" si="48"/>
        <v>2521393.25</v>
      </c>
    </row>
    <row r="135" spans="1:31" x14ac:dyDescent="0.25">
      <c r="A135" s="828"/>
      <c r="B135" s="834"/>
      <c r="C135" s="388" t="s">
        <v>29</v>
      </c>
      <c r="D135" s="19" t="s">
        <v>24</v>
      </c>
      <c r="E135" s="707">
        <f>1+1</f>
        <v>2</v>
      </c>
      <c r="F135" s="11">
        <f>1+1</f>
        <v>2</v>
      </c>
      <c r="G135" s="448">
        <v>2</v>
      </c>
      <c r="H135" s="766">
        <f>1+1</f>
        <v>2</v>
      </c>
      <c r="I135" s="766">
        <v>2</v>
      </c>
      <c r="J135" s="151">
        <f t="shared" si="45"/>
        <v>175051.01</v>
      </c>
      <c r="K135" s="430">
        <v>175051.01</v>
      </c>
      <c r="L135" s="429" t="s">
        <v>26</v>
      </c>
      <c r="M135" s="418" t="s">
        <v>26</v>
      </c>
      <c r="N135" s="430">
        <f t="shared" si="46"/>
        <v>350102.02</v>
      </c>
      <c r="O135" s="430">
        <f t="shared" si="49"/>
        <v>350102.02</v>
      </c>
      <c r="P135" s="429" t="s">
        <v>26</v>
      </c>
      <c r="Q135" s="429"/>
      <c r="R135" s="418" t="s">
        <v>26</v>
      </c>
      <c r="S135" s="10"/>
      <c r="T135" s="150">
        <f t="shared" si="47"/>
        <v>350102.02</v>
      </c>
      <c r="U135" s="150">
        <f t="shared" si="48"/>
        <v>350102.02</v>
      </c>
    </row>
    <row r="136" spans="1:31" x14ac:dyDescent="0.25">
      <c r="A136" s="828"/>
      <c r="B136" s="834"/>
      <c r="C136" s="388" t="s">
        <v>30</v>
      </c>
      <c r="D136" s="19" t="s">
        <v>24</v>
      </c>
      <c r="E136" s="11">
        <v>27</v>
      </c>
      <c r="F136" s="11">
        <f>27-1</f>
        <v>26</v>
      </c>
      <c r="G136" s="448">
        <f>26</f>
        <v>26</v>
      </c>
      <c r="H136" s="766">
        <f>26</f>
        <v>26</v>
      </c>
      <c r="I136" s="766">
        <f>26</f>
        <v>26</v>
      </c>
      <c r="J136" s="151">
        <f t="shared" si="45"/>
        <v>146008.26</v>
      </c>
      <c r="K136" s="151">
        <v>146008.26</v>
      </c>
      <c r="L136" s="429" t="s">
        <v>26</v>
      </c>
      <c r="M136" s="418" t="s">
        <v>26</v>
      </c>
      <c r="N136" s="430">
        <f t="shared" si="46"/>
        <v>3796214.7600000002</v>
      </c>
      <c r="O136" s="430">
        <f t="shared" si="49"/>
        <v>3796214.7600000002</v>
      </c>
      <c r="P136" s="429" t="s">
        <v>26</v>
      </c>
      <c r="Q136" s="429"/>
      <c r="R136" s="418" t="s">
        <v>26</v>
      </c>
      <c r="S136" s="10"/>
      <c r="T136" s="150">
        <f t="shared" si="47"/>
        <v>3796214.7600000002</v>
      </c>
      <c r="U136" s="150">
        <f t="shared" si="48"/>
        <v>3796214.7600000002</v>
      </c>
    </row>
    <row r="137" spans="1:31" x14ac:dyDescent="0.25">
      <c r="A137" s="828"/>
      <c r="B137" s="834"/>
      <c r="C137" s="388" t="s">
        <v>31</v>
      </c>
      <c r="D137" s="19" t="s">
        <v>24</v>
      </c>
      <c r="E137" s="11">
        <v>1</v>
      </c>
      <c r="F137" s="11">
        <f>1-1</f>
        <v>0</v>
      </c>
      <c r="G137" s="448">
        <v>0</v>
      </c>
      <c r="H137" s="766">
        <f>1-1</f>
        <v>0</v>
      </c>
      <c r="I137" s="766">
        <v>0</v>
      </c>
      <c r="J137" s="151">
        <f t="shared" si="45"/>
        <v>165472.68</v>
      </c>
      <c r="K137" s="151">
        <v>165472.68</v>
      </c>
      <c r="L137" s="429" t="s">
        <v>26</v>
      </c>
      <c r="M137" s="418" t="s">
        <v>26</v>
      </c>
      <c r="N137" s="430">
        <f t="shared" si="46"/>
        <v>0</v>
      </c>
      <c r="O137" s="430">
        <f t="shared" si="49"/>
        <v>0</v>
      </c>
      <c r="P137" s="429" t="s">
        <v>26</v>
      </c>
      <c r="Q137" s="429"/>
      <c r="R137" s="418" t="s">
        <v>26</v>
      </c>
      <c r="S137" s="10"/>
      <c r="T137" s="150">
        <f t="shared" si="47"/>
        <v>0</v>
      </c>
      <c r="U137" s="150">
        <f t="shared" si="48"/>
        <v>0</v>
      </c>
    </row>
    <row r="138" spans="1:31" x14ac:dyDescent="0.25">
      <c r="A138" s="828"/>
      <c r="B138" s="834"/>
      <c r="C138" s="719" t="s">
        <v>32</v>
      </c>
      <c r="D138" s="19" t="s">
        <v>24</v>
      </c>
      <c r="E138" s="11">
        <v>0</v>
      </c>
      <c r="F138" s="11">
        <f>1+1</f>
        <v>2</v>
      </c>
      <c r="G138" s="448">
        <v>2</v>
      </c>
      <c r="H138" s="766">
        <f>1+1</f>
        <v>2</v>
      </c>
      <c r="I138" s="766">
        <v>2</v>
      </c>
      <c r="J138" s="151">
        <f t="shared" ref="J138" si="50">K138</f>
        <v>191205.83</v>
      </c>
      <c r="K138" s="711">
        <v>191205.83</v>
      </c>
      <c r="L138" s="716" t="s">
        <v>26</v>
      </c>
      <c r="M138" s="418" t="s">
        <v>26</v>
      </c>
      <c r="N138" s="717">
        <f t="shared" ref="N138" si="51">O138</f>
        <v>382411.66</v>
      </c>
      <c r="O138" s="717">
        <f t="shared" ref="O138" si="52">G138*K138</f>
        <v>382411.66</v>
      </c>
      <c r="P138" s="716" t="s">
        <v>26</v>
      </c>
      <c r="Q138" s="716"/>
      <c r="R138" s="418" t="s">
        <v>26</v>
      </c>
      <c r="S138" s="10"/>
      <c r="T138" s="150">
        <f t="shared" ref="T138" si="53">H138*K138</f>
        <v>382411.66</v>
      </c>
      <c r="U138" s="150">
        <f t="shared" ref="U138" si="54">I138*K138</f>
        <v>382411.66</v>
      </c>
    </row>
    <row r="139" spans="1:31" x14ac:dyDescent="0.25">
      <c r="A139" s="828"/>
      <c r="B139" s="834"/>
      <c r="C139" s="388" t="s">
        <v>52</v>
      </c>
      <c r="D139" s="19" t="s">
        <v>24</v>
      </c>
      <c r="E139" s="11">
        <v>1</v>
      </c>
      <c r="F139" s="11">
        <v>1</v>
      </c>
      <c r="G139" s="448">
        <v>1</v>
      </c>
      <c r="H139" s="766">
        <v>1</v>
      </c>
      <c r="I139" s="766">
        <v>1</v>
      </c>
      <c r="J139" s="151">
        <f t="shared" si="45"/>
        <v>340458.04</v>
      </c>
      <c r="K139" s="151">
        <v>340458.04</v>
      </c>
      <c r="L139" s="429" t="s">
        <v>26</v>
      </c>
      <c r="M139" s="418" t="s">
        <v>26</v>
      </c>
      <c r="N139" s="430">
        <f t="shared" si="46"/>
        <v>340458.04</v>
      </c>
      <c r="O139" s="430">
        <f t="shared" si="49"/>
        <v>340458.04</v>
      </c>
      <c r="P139" s="429" t="s">
        <v>26</v>
      </c>
      <c r="Q139" s="429"/>
      <c r="R139" s="418" t="s">
        <v>26</v>
      </c>
      <c r="S139" s="10"/>
      <c r="T139" s="150">
        <f t="shared" si="47"/>
        <v>340458.04</v>
      </c>
      <c r="U139" s="150">
        <f t="shared" si="48"/>
        <v>340458.04</v>
      </c>
    </row>
    <row r="140" spans="1:31" x14ac:dyDescent="0.25">
      <c r="A140" s="828"/>
      <c r="B140" s="834"/>
      <c r="C140" s="388" t="s">
        <v>34</v>
      </c>
      <c r="D140" s="19" t="s">
        <v>24</v>
      </c>
      <c r="E140" s="11"/>
      <c r="F140" s="11"/>
      <c r="G140" s="448">
        <f t="shared" ref="G140:G153" si="55">((E140*8)+(F140*4))/12</f>
        <v>0</v>
      </c>
      <c r="H140" s="766"/>
      <c r="I140" s="766"/>
      <c r="J140" s="151">
        <f t="shared" si="45"/>
        <v>129594.64</v>
      </c>
      <c r="K140" s="151">
        <v>129594.64</v>
      </c>
      <c r="L140" s="429" t="s">
        <v>26</v>
      </c>
      <c r="M140" s="418" t="s">
        <v>26</v>
      </c>
      <c r="N140" s="430">
        <f t="shared" si="46"/>
        <v>0</v>
      </c>
      <c r="O140" s="430">
        <f t="shared" si="49"/>
        <v>0</v>
      </c>
      <c r="P140" s="429" t="s">
        <v>26</v>
      </c>
      <c r="Q140" s="429"/>
      <c r="R140" s="418" t="s">
        <v>26</v>
      </c>
      <c r="S140" s="10"/>
      <c r="T140" s="150">
        <f t="shared" si="47"/>
        <v>0</v>
      </c>
      <c r="U140" s="150">
        <f t="shared" si="48"/>
        <v>0</v>
      </c>
      <c r="W140" s="1" t="s">
        <v>590</v>
      </c>
    </row>
    <row r="141" spans="1:31" ht="87" customHeight="1" x14ac:dyDescent="0.25">
      <c r="A141" s="828"/>
      <c r="B141" s="834"/>
      <c r="C141" s="408" t="s">
        <v>35</v>
      </c>
      <c r="D141" s="19" t="s">
        <v>24</v>
      </c>
      <c r="E141" s="11">
        <v>5</v>
      </c>
      <c r="F141" s="11">
        <f>5+1</f>
        <v>6</v>
      </c>
      <c r="G141" s="448">
        <f>6-1</f>
        <v>5</v>
      </c>
      <c r="H141" s="766">
        <f>6-1</f>
        <v>5</v>
      </c>
      <c r="I141" s="766">
        <f>6-1</f>
        <v>5</v>
      </c>
      <c r="J141" s="151">
        <f>SUM(K141:M141)</f>
        <v>317670.87</v>
      </c>
      <c r="K141" s="151">
        <f>278803.34+2198.86</f>
        <v>281002.2</v>
      </c>
      <c r="L141" s="387">
        <v>13474.6</v>
      </c>
      <c r="M141" s="485">
        <v>23194.07</v>
      </c>
      <c r="N141" s="484">
        <f>SUM(O141:R141)</f>
        <v>1588354.35</v>
      </c>
      <c r="O141" s="430">
        <f>G141*K141</f>
        <v>1405011</v>
      </c>
      <c r="P141" s="430">
        <f>G141*L141</f>
        <v>67373</v>
      </c>
      <c r="Q141" s="430"/>
      <c r="R141" s="151">
        <f>G141*M141</f>
        <v>115970.35</v>
      </c>
      <c r="S141" s="150"/>
      <c r="T141" s="150">
        <f>W141</f>
        <v>1588354.35</v>
      </c>
      <c r="U141" s="150">
        <f>AB141</f>
        <v>1588354.35</v>
      </c>
      <c r="W141" s="454">
        <f>SUM(X141:AA141)</f>
        <v>1588354.35</v>
      </c>
      <c r="X141" s="398">
        <f>H141*K141</f>
        <v>1405011</v>
      </c>
      <c r="Y141" s="618">
        <f>H141*L141</f>
        <v>67373</v>
      </c>
      <c r="Z141" s="398">
        <f>H141*M141</f>
        <v>115970.35</v>
      </c>
      <c r="AB141" s="454">
        <f>SUM(AC141:AF141)</f>
        <v>1588354.35</v>
      </c>
      <c r="AC141" s="398">
        <f>I141*K141</f>
        <v>1405011</v>
      </c>
      <c r="AD141" s="618">
        <f>I141*L141</f>
        <v>67373</v>
      </c>
      <c r="AE141" s="398">
        <f>I141*M141</f>
        <v>115970.35</v>
      </c>
    </row>
    <row r="142" spans="1:31" ht="22.8" customHeight="1" x14ac:dyDescent="0.25">
      <c r="A142" s="828"/>
      <c r="B142" s="834"/>
      <c r="C142" s="419" t="s">
        <v>58</v>
      </c>
      <c r="D142" s="19" t="s">
        <v>59</v>
      </c>
      <c r="E142" s="11">
        <v>8</v>
      </c>
      <c r="F142" s="11">
        <v>8</v>
      </c>
      <c r="G142" s="11">
        <f t="shared" si="55"/>
        <v>8</v>
      </c>
      <c r="H142" s="418">
        <v>8</v>
      </c>
      <c r="I142" s="418">
        <v>8</v>
      </c>
      <c r="J142" s="151">
        <f>SUM(K142:M142)</f>
        <v>234360</v>
      </c>
      <c r="K142" s="151">
        <f>10000*1.5*1.302*12</f>
        <v>234360</v>
      </c>
      <c r="L142" s="387"/>
      <c r="M142" s="14"/>
      <c r="N142" s="484">
        <f>SUM(O142:R142)</f>
        <v>1874880</v>
      </c>
      <c r="O142" s="14">
        <f>G142*K142</f>
        <v>1874880</v>
      </c>
      <c r="P142" s="430"/>
      <c r="Q142" s="430"/>
      <c r="R142" s="151"/>
      <c r="S142" s="150"/>
      <c r="T142" s="150">
        <f>H142*K142-1874880</f>
        <v>0</v>
      </c>
      <c r="U142" s="150">
        <f>I142*K142-1874880</f>
        <v>0</v>
      </c>
    </row>
    <row r="143" spans="1:31" ht="20.399999999999999" customHeight="1" x14ac:dyDescent="0.25">
      <c r="A143" s="828"/>
      <c r="B143" s="835"/>
      <c r="C143" s="420" t="s">
        <v>38</v>
      </c>
      <c r="D143" s="19"/>
      <c r="E143" s="615">
        <f>E131+E141</f>
        <v>211</v>
      </c>
      <c r="F143" s="615">
        <f>F131+F141</f>
        <v>197</v>
      </c>
      <c r="G143" s="767">
        <f>G131+G141</f>
        <v>206</v>
      </c>
      <c r="H143" s="767">
        <f>H131+H141</f>
        <v>206</v>
      </c>
      <c r="I143" s="767">
        <f>I131+I141</f>
        <v>206</v>
      </c>
      <c r="J143" s="430" t="s">
        <v>26</v>
      </c>
      <c r="K143" s="430" t="s">
        <v>26</v>
      </c>
      <c r="L143" s="430" t="s">
        <v>26</v>
      </c>
      <c r="M143" s="14" t="s">
        <v>26</v>
      </c>
      <c r="N143" s="421">
        <f>SUM(N131:N142)</f>
        <v>24484049.48</v>
      </c>
      <c r="O143" s="421">
        <f t="shared" ref="O143:U143" si="56">SUM(O131:O142)</f>
        <v>16930303.460000001</v>
      </c>
      <c r="P143" s="421">
        <f t="shared" si="56"/>
        <v>2775767.6</v>
      </c>
      <c r="Q143" s="421">
        <f t="shared" si="56"/>
        <v>0</v>
      </c>
      <c r="R143" s="801">
        <f t="shared" si="56"/>
        <v>4777978.42</v>
      </c>
      <c r="S143" s="421">
        <f t="shared" si="56"/>
        <v>0</v>
      </c>
      <c r="T143" s="421">
        <f t="shared" si="56"/>
        <v>22609169.48</v>
      </c>
      <c r="U143" s="421">
        <f t="shared" si="56"/>
        <v>22609169.48</v>
      </c>
      <c r="W143" s="1" t="s">
        <v>447</v>
      </c>
      <c r="AB143" s="1" t="s">
        <v>589</v>
      </c>
    </row>
    <row r="144" spans="1:31" ht="75" customHeight="1" x14ac:dyDescent="0.25">
      <c r="A144" s="828"/>
      <c r="B144" s="833" t="s">
        <v>316</v>
      </c>
      <c r="C144" s="22" t="s">
        <v>23</v>
      </c>
      <c r="D144" s="19" t="s">
        <v>24</v>
      </c>
      <c r="E144" s="11">
        <f>261-51</f>
        <v>210</v>
      </c>
      <c r="F144" s="11">
        <f>211-20</f>
        <v>191</v>
      </c>
      <c r="G144" s="448">
        <v>204</v>
      </c>
      <c r="H144" s="448">
        <v>204</v>
      </c>
      <c r="I144" s="448">
        <v>204</v>
      </c>
      <c r="J144" s="387">
        <f>SUM(K144:M144)</f>
        <v>82786.649999999994</v>
      </c>
      <c r="K144" s="387">
        <f>43367.41+2750.57</f>
        <v>46117.98</v>
      </c>
      <c r="L144" s="387">
        <v>13474.6</v>
      </c>
      <c r="M144" s="485">
        <v>23194.07</v>
      </c>
      <c r="N144" s="484">
        <f>SUM(O144:R144)</f>
        <v>16888476.600000001</v>
      </c>
      <c r="O144" s="430">
        <f>G144*K144</f>
        <v>9408067.9199999999</v>
      </c>
      <c r="P144" s="430">
        <f>G144*L144</f>
        <v>2748818.4</v>
      </c>
      <c r="Q144" s="430"/>
      <c r="R144" s="151">
        <f>G144*M144</f>
        <v>4731590.28</v>
      </c>
      <c r="S144" s="150"/>
      <c r="T144" s="150">
        <f>W144</f>
        <v>16888476.600000001</v>
      </c>
      <c r="U144" s="150">
        <f>AB144</f>
        <v>16888476.600000001</v>
      </c>
      <c r="W144" s="454">
        <f>SUM(X144:AA144)</f>
        <v>16888476.600000001</v>
      </c>
      <c r="X144" s="398">
        <f>H144*K144</f>
        <v>9408067.9199999999</v>
      </c>
      <c r="Y144" s="618">
        <f>H144*L144</f>
        <v>2748818.4</v>
      </c>
      <c r="Z144" s="398">
        <f>H144*M144</f>
        <v>4731590.28</v>
      </c>
      <c r="AB144" s="454">
        <f>SUM(AC144:AF144)</f>
        <v>16888476.600000001</v>
      </c>
      <c r="AC144" s="398">
        <f>I144*K144</f>
        <v>9408067.9199999999</v>
      </c>
      <c r="AD144" s="618">
        <f>I144*L144</f>
        <v>2748818.4</v>
      </c>
      <c r="AE144" s="398">
        <f>I144*M144</f>
        <v>4731590.28</v>
      </c>
    </row>
    <row r="145" spans="1:31" ht="106.8" customHeight="1" x14ac:dyDescent="0.25">
      <c r="A145" s="828"/>
      <c r="B145" s="834"/>
      <c r="C145" s="22" t="s">
        <v>63</v>
      </c>
      <c r="D145" s="19" t="s">
        <v>24</v>
      </c>
      <c r="E145" s="11">
        <v>54</v>
      </c>
      <c r="F145" s="11">
        <f>54+24</f>
        <v>78</v>
      </c>
      <c r="G145" s="448">
        <v>62</v>
      </c>
      <c r="H145" s="448">
        <v>62</v>
      </c>
      <c r="I145" s="448">
        <v>62</v>
      </c>
      <c r="J145" s="387">
        <f>SUM(K145:M145)</f>
        <v>86550.39</v>
      </c>
      <c r="K145" s="387">
        <f>47131.15+2750.57</f>
        <v>49881.72</v>
      </c>
      <c r="L145" s="387">
        <v>13474.6</v>
      </c>
      <c r="M145" s="485">
        <v>23194.07</v>
      </c>
      <c r="N145" s="504">
        <f>SUM(O145:R145)</f>
        <v>5366124.1800000006</v>
      </c>
      <c r="O145" s="504">
        <f>G145*K145</f>
        <v>3092666.64</v>
      </c>
      <c r="P145" s="504">
        <f>G145*L145</f>
        <v>835425.20000000007</v>
      </c>
      <c r="Q145" s="504"/>
      <c r="R145" s="151">
        <f>G145*M145</f>
        <v>1438032.34</v>
      </c>
      <c r="S145" s="150"/>
      <c r="T145" s="150">
        <f>W145</f>
        <v>5366124.1800000006</v>
      </c>
      <c r="U145" s="150">
        <f>AB145</f>
        <v>5366124.1800000006</v>
      </c>
      <c r="W145" s="454">
        <f>SUM(X145:AA145)</f>
        <v>5366124.1800000006</v>
      </c>
      <c r="X145" s="398">
        <f>H145*K145</f>
        <v>3092666.64</v>
      </c>
      <c r="Y145" s="14">
        <f>H145*L145</f>
        <v>835425.20000000007</v>
      </c>
      <c r="Z145" s="398">
        <f>H145*M145</f>
        <v>1438032.34</v>
      </c>
      <c r="AB145" s="454">
        <f>SUM(AC145:AF145)</f>
        <v>5366124.1800000006</v>
      </c>
      <c r="AC145" s="398">
        <f>I145*K145</f>
        <v>3092666.64</v>
      </c>
      <c r="AD145" s="14">
        <f>I145*L145</f>
        <v>835425.20000000007</v>
      </c>
      <c r="AE145" s="398">
        <f>I145*M145</f>
        <v>1438032.34</v>
      </c>
    </row>
    <row r="146" spans="1:31" ht="89.4" customHeight="1" x14ac:dyDescent="0.25">
      <c r="A146" s="828"/>
      <c r="B146" s="834"/>
      <c r="C146" s="408" t="s">
        <v>25</v>
      </c>
      <c r="D146" s="19" t="s">
        <v>24</v>
      </c>
      <c r="E146" s="10" t="s">
        <v>26</v>
      </c>
      <c r="F146" s="10" t="s">
        <v>26</v>
      </c>
      <c r="G146" s="10" t="s">
        <v>26</v>
      </c>
      <c r="H146" s="418" t="s">
        <v>26</v>
      </c>
      <c r="I146" s="418" t="s">
        <v>26</v>
      </c>
      <c r="J146" s="429" t="s">
        <v>26</v>
      </c>
      <c r="K146" s="429" t="s">
        <v>26</v>
      </c>
      <c r="L146" s="429" t="s">
        <v>26</v>
      </c>
      <c r="M146" s="418" t="s">
        <v>26</v>
      </c>
      <c r="N146" s="430"/>
      <c r="O146" s="430"/>
      <c r="P146" s="429" t="s">
        <v>26</v>
      </c>
      <c r="Q146" s="429"/>
      <c r="R146" s="418" t="s">
        <v>26</v>
      </c>
      <c r="S146" s="10"/>
      <c r="T146" s="150"/>
      <c r="U146" s="150"/>
    </row>
    <row r="147" spans="1:31" x14ac:dyDescent="0.25">
      <c r="A147" s="828"/>
      <c r="B147" s="834"/>
      <c r="C147" s="388" t="s">
        <v>27</v>
      </c>
      <c r="D147" s="19" t="s">
        <v>24</v>
      </c>
      <c r="E147" s="446"/>
      <c r="F147" s="446"/>
      <c r="G147" s="11">
        <f t="shared" si="55"/>
        <v>0</v>
      </c>
      <c r="H147" s="447">
        <v>0</v>
      </c>
      <c r="I147" s="447">
        <v>0</v>
      </c>
      <c r="J147" s="151">
        <f>K147</f>
        <v>57318.77</v>
      </c>
      <c r="K147" s="151">
        <v>57318.77</v>
      </c>
      <c r="L147" s="429" t="s">
        <v>26</v>
      </c>
      <c r="M147" s="418" t="s">
        <v>26</v>
      </c>
      <c r="N147" s="430">
        <f>O147</f>
        <v>0</v>
      </c>
      <c r="O147" s="430">
        <f>G147*K147</f>
        <v>0</v>
      </c>
      <c r="P147" s="429" t="s">
        <v>26</v>
      </c>
      <c r="Q147" s="429"/>
      <c r="R147" s="418" t="s">
        <v>26</v>
      </c>
      <c r="S147" s="10"/>
      <c r="T147" s="150">
        <f>H147*K147</f>
        <v>0</v>
      </c>
      <c r="U147" s="150">
        <f>I147*K147</f>
        <v>0</v>
      </c>
    </row>
    <row r="148" spans="1:31" x14ac:dyDescent="0.25">
      <c r="A148" s="828"/>
      <c r="B148" s="834"/>
      <c r="C148" s="388" t="s">
        <v>29</v>
      </c>
      <c r="D148" s="19" t="s">
        <v>24</v>
      </c>
      <c r="E148" s="613">
        <f>2+1</f>
        <v>3</v>
      </c>
      <c r="F148" s="613">
        <v>4</v>
      </c>
      <c r="G148" s="448">
        <v>3</v>
      </c>
      <c r="H148" s="424">
        <v>3</v>
      </c>
      <c r="I148" s="424">
        <v>3</v>
      </c>
      <c r="J148" s="151">
        <f>K148</f>
        <v>114206.08</v>
      </c>
      <c r="K148" s="151">
        <v>114206.08</v>
      </c>
      <c r="L148" s="429" t="s">
        <v>26</v>
      </c>
      <c r="M148" s="418" t="s">
        <v>26</v>
      </c>
      <c r="N148" s="430">
        <f>O148</f>
        <v>342618.24</v>
      </c>
      <c r="O148" s="430">
        <f t="shared" ref="O148:O151" si="57">G148*K148</f>
        <v>342618.24</v>
      </c>
      <c r="P148" s="429" t="s">
        <v>26</v>
      </c>
      <c r="Q148" s="429"/>
      <c r="R148" s="418" t="s">
        <v>26</v>
      </c>
      <c r="S148" s="10"/>
      <c r="T148" s="150">
        <f>H148*K148</f>
        <v>342618.24</v>
      </c>
      <c r="U148" s="150">
        <f>I148*K148</f>
        <v>342618.24</v>
      </c>
    </row>
    <row r="149" spans="1:31" x14ac:dyDescent="0.25">
      <c r="A149" s="828"/>
      <c r="B149" s="834"/>
      <c r="C149" s="388" t="s">
        <v>31</v>
      </c>
      <c r="D149" s="19" t="s">
        <v>24</v>
      </c>
      <c r="E149" s="705">
        <f>3-1</f>
        <v>2</v>
      </c>
      <c r="F149" s="613">
        <v>1</v>
      </c>
      <c r="G149" s="448">
        <v>2</v>
      </c>
      <c r="H149" s="424">
        <v>2</v>
      </c>
      <c r="I149" s="424">
        <v>2</v>
      </c>
      <c r="J149" s="151">
        <f>K149</f>
        <v>279371.78999999998</v>
      </c>
      <c r="K149" s="151">
        <v>279371.78999999998</v>
      </c>
      <c r="L149" s="429" t="s">
        <v>26</v>
      </c>
      <c r="M149" s="418" t="s">
        <v>26</v>
      </c>
      <c r="N149" s="430">
        <f>O149</f>
        <v>558743.57999999996</v>
      </c>
      <c r="O149" s="430">
        <f t="shared" si="57"/>
        <v>558743.57999999996</v>
      </c>
      <c r="P149" s="429" t="s">
        <v>26</v>
      </c>
      <c r="Q149" s="429"/>
      <c r="R149" s="418"/>
      <c r="S149" s="10"/>
      <c r="T149" s="150">
        <f>H149*K149</f>
        <v>558743.57999999996</v>
      </c>
      <c r="U149" s="150">
        <f>I149*K149</f>
        <v>558743.57999999996</v>
      </c>
    </row>
    <row r="150" spans="1:31" x14ac:dyDescent="0.25">
      <c r="A150" s="828"/>
      <c r="B150" s="834"/>
      <c r="C150" s="388" t="s">
        <v>33</v>
      </c>
      <c r="D150" s="19" t="s">
        <v>24</v>
      </c>
      <c r="E150" s="613">
        <v>1</v>
      </c>
      <c r="F150" s="613">
        <v>1</v>
      </c>
      <c r="G150" s="448">
        <v>1</v>
      </c>
      <c r="H150" s="424">
        <v>1</v>
      </c>
      <c r="I150" s="424">
        <v>1</v>
      </c>
      <c r="J150" s="151">
        <f>K150</f>
        <v>26993.01</v>
      </c>
      <c r="K150" s="151">
        <v>26993.01</v>
      </c>
      <c r="L150" s="429" t="s">
        <v>26</v>
      </c>
      <c r="M150" s="418" t="s">
        <v>26</v>
      </c>
      <c r="N150" s="430">
        <f>O150</f>
        <v>26993.01</v>
      </c>
      <c r="O150" s="430">
        <f t="shared" si="57"/>
        <v>26993.01</v>
      </c>
      <c r="P150" s="429" t="s">
        <v>26</v>
      </c>
      <c r="Q150" s="429"/>
      <c r="R150" s="418"/>
      <c r="S150" s="10"/>
      <c r="T150" s="150">
        <f>H150*K150</f>
        <v>26993.01</v>
      </c>
      <c r="U150" s="150">
        <f>I150*K150</f>
        <v>26993.01</v>
      </c>
    </row>
    <row r="151" spans="1:31" x14ac:dyDescent="0.25">
      <c r="A151" s="828"/>
      <c r="B151" s="834"/>
      <c r="C151" s="388" t="s">
        <v>34</v>
      </c>
      <c r="D151" s="19" t="s">
        <v>24</v>
      </c>
      <c r="E151" s="613">
        <v>6</v>
      </c>
      <c r="F151" s="613">
        <v>10</v>
      </c>
      <c r="G151" s="448">
        <v>7</v>
      </c>
      <c r="H151" s="424">
        <v>7</v>
      </c>
      <c r="I151" s="424">
        <v>7</v>
      </c>
      <c r="J151" s="151">
        <f>K151</f>
        <v>19898.91</v>
      </c>
      <c r="K151" s="151">
        <v>19898.91</v>
      </c>
      <c r="L151" s="429" t="s">
        <v>26</v>
      </c>
      <c r="M151" s="418" t="s">
        <v>26</v>
      </c>
      <c r="N151" s="430">
        <f>O151</f>
        <v>139292.37</v>
      </c>
      <c r="O151" s="430">
        <f t="shared" si="57"/>
        <v>139292.37</v>
      </c>
      <c r="P151" s="429" t="s">
        <v>26</v>
      </c>
      <c r="Q151" s="429"/>
      <c r="R151" s="418" t="s">
        <v>26</v>
      </c>
      <c r="S151" s="10"/>
      <c r="T151" s="150">
        <f>H151*K151</f>
        <v>139292.37</v>
      </c>
      <c r="U151" s="150">
        <f>I151*K151</f>
        <v>139292.37</v>
      </c>
    </row>
    <row r="152" spans="1:31" ht="82.95" customHeight="1" x14ac:dyDescent="0.25">
      <c r="A152" s="828"/>
      <c r="B152" s="835"/>
      <c r="C152" s="388" t="s">
        <v>35</v>
      </c>
      <c r="D152" s="19" t="s">
        <v>24</v>
      </c>
      <c r="E152" s="613">
        <v>3</v>
      </c>
      <c r="F152" s="613">
        <v>4</v>
      </c>
      <c r="G152" s="448">
        <v>3</v>
      </c>
      <c r="H152" s="424">
        <v>3</v>
      </c>
      <c r="I152" s="424">
        <v>3</v>
      </c>
      <c r="J152" s="151">
        <f>SUM(K152:M152)</f>
        <v>354046.66</v>
      </c>
      <c r="K152" s="151">
        <f>314627.42+2750.57</f>
        <v>317377.99</v>
      </c>
      <c r="L152" s="387">
        <v>13474.6</v>
      </c>
      <c r="M152" s="485">
        <v>23194.07</v>
      </c>
      <c r="N152" s="398">
        <f>SUM(O152:R152)</f>
        <v>1062139.98</v>
      </c>
      <c r="O152" s="430">
        <f>G152*K152</f>
        <v>952133.97</v>
      </c>
      <c r="P152" s="430">
        <f>G152*L152</f>
        <v>40423.800000000003</v>
      </c>
      <c r="Q152" s="398"/>
      <c r="R152" s="151">
        <f>G152*M152</f>
        <v>69582.209999999992</v>
      </c>
      <c r="S152" s="150"/>
      <c r="T152" s="150">
        <f>W152</f>
        <v>1062139.98</v>
      </c>
      <c r="U152" s="150">
        <f>AB152</f>
        <v>1062139.98</v>
      </c>
      <c r="W152" s="454">
        <f>SUM(X152:AA152)</f>
        <v>1062139.98</v>
      </c>
      <c r="X152" s="398">
        <f>H152*K152</f>
        <v>952133.97</v>
      </c>
      <c r="Y152" s="14">
        <f>H152*L152</f>
        <v>40423.800000000003</v>
      </c>
      <c r="Z152" s="398">
        <f>H152*M152</f>
        <v>69582.209999999992</v>
      </c>
      <c r="AB152" s="454">
        <f>SUM(AC152:AF152)</f>
        <v>1062139.98</v>
      </c>
      <c r="AC152" s="398">
        <f>I152*K152</f>
        <v>952133.97</v>
      </c>
      <c r="AD152" s="14">
        <f>I152*L152</f>
        <v>40423.800000000003</v>
      </c>
      <c r="AE152" s="398">
        <f>I152*M152</f>
        <v>69582.209999999992</v>
      </c>
    </row>
    <row r="153" spans="1:31" ht="18.600000000000001" customHeight="1" x14ac:dyDescent="0.25">
      <c r="A153" s="828"/>
      <c r="B153" s="405"/>
      <c r="C153" s="389" t="s">
        <v>58</v>
      </c>
      <c r="D153" s="403" t="s">
        <v>59</v>
      </c>
      <c r="E153" s="6">
        <v>10</v>
      </c>
      <c r="F153" s="6">
        <v>10</v>
      </c>
      <c r="G153" s="622">
        <f t="shared" si="55"/>
        <v>10</v>
      </c>
      <c r="H153" s="7">
        <v>10</v>
      </c>
      <c r="I153" s="7">
        <v>10</v>
      </c>
      <c r="J153" s="31">
        <f>SUM(K153:M153)</f>
        <v>234360</v>
      </c>
      <c r="K153" s="31">
        <f>10000*1.5*1.302*12</f>
        <v>234360</v>
      </c>
      <c r="L153" s="20"/>
      <c r="M153" s="21"/>
      <c r="N153" s="489">
        <f>SUM(O153:R153)</f>
        <v>2343600</v>
      </c>
      <c r="O153" s="21">
        <f>G153*K153</f>
        <v>2343600</v>
      </c>
      <c r="P153" s="385"/>
      <c r="Q153" s="390"/>
      <c r="R153" s="31"/>
      <c r="S153" s="23"/>
      <c r="T153" s="491">
        <f>H153*K153-2343600</f>
        <v>0</v>
      </c>
      <c r="U153" s="491">
        <f>I153*K153-2343600</f>
        <v>0</v>
      </c>
    </row>
    <row r="154" spans="1:31" ht="23.4" customHeight="1" x14ac:dyDescent="0.25">
      <c r="A154" s="828"/>
      <c r="B154" s="405"/>
      <c r="C154" s="404" t="s">
        <v>38</v>
      </c>
      <c r="D154" s="403"/>
      <c r="E154" s="621">
        <f>E144+E145+E152</f>
        <v>267</v>
      </c>
      <c r="F154" s="621">
        <f>F144+F145+F152</f>
        <v>273</v>
      </c>
      <c r="G154" s="768">
        <f>G144+G145+G152</f>
        <v>269</v>
      </c>
      <c r="H154" s="769">
        <f>H144+H145+H152</f>
        <v>269</v>
      </c>
      <c r="I154" s="769">
        <f>I144+I145+I152</f>
        <v>269</v>
      </c>
      <c r="J154" s="390" t="s">
        <v>26</v>
      </c>
      <c r="K154" s="390" t="s">
        <v>26</v>
      </c>
      <c r="L154" s="390" t="s">
        <v>26</v>
      </c>
      <c r="M154" s="31" t="s">
        <v>26</v>
      </c>
      <c r="N154" s="391">
        <f>SUM(N144:N153)</f>
        <v>26727987.960000001</v>
      </c>
      <c r="O154" s="391">
        <f t="shared" ref="O154:U154" si="58">SUM(O144:O153)</f>
        <v>16864115.73</v>
      </c>
      <c r="P154" s="391">
        <f t="shared" si="58"/>
        <v>3624667.4</v>
      </c>
      <c r="Q154" s="391">
        <f t="shared" si="58"/>
        <v>0</v>
      </c>
      <c r="R154" s="804">
        <f t="shared" si="58"/>
        <v>6239204.8300000001</v>
      </c>
      <c r="S154" s="391">
        <f t="shared" si="58"/>
        <v>0</v>
      </c>
      <c r="T154" s="391">
        <f t="shared" si="58"/>
        <v>24384387.960000001</v>
      </c>
      <c r="U154" s="391">
        <f t="shared" si="58"/>
        <v>24384387.960000001</v>
      </c>
      <c r="W154" s="1" t="s">
        <v>591</v>
      </c>
    </row>
    <row r="155" spans="1:31" ht="73.2" customHeight="1" x14ac:dyDescent="0.25">
      <c r="A155" s="828"/>
      <c r="B155" s="833" t="s">
        <v>113</v>
      </c>
      <c r="C155" s="22" t="s">
        <v>23</v>
      </c>
      <c r="D155" s="19" t="s">
        <v>24</v>
      </c>
      <c r="E155" s="613">
        <v>43</v>
      </c>
      <c r="F155" s="613">
        <v>43</v>
      </c>
      <c r="G155" s="448">
        <f>((E155*8)+(F155*4))/12</f>
        <v>43</v>
      </c>
      <c r="H155" s="424">
        <v>43</v>
      </c>
      <c r="I155" s="424">
        <v>43</v>
      </c>
      <c r="J155" s="387">
        <f>SUM(K155:M155)</f>
        <v>90164.510000000009</v>
      </c>
      <c r="K155" s="387">
        <f>50769.44+2726.4</f>
        <v>53495.840000000004</v>
      </c>
      <c r="L155" s="387">
        <v>13474.6</v>
      </c>
      <c r="M155" s="485">
        <v>23194.07</v>
      </c>
      <c r="N155" s="454">
        <f>SUM(O155:R155)</f>
        <v>3877073.9299999997</v>
      </c>
      <c r="O155" s="398">
        <f>G155*K155</f>
        <v>2300321.12</v>
      </c>
      <c r="P155" s="14">
        <f>G155*L155</f>
        <v>579407.80000000005</v>
      </c>
      <c r="Q155" s="398"/>
      <c r="R155" s="151">
        <f>G155*M155</f>
        <v>997345.01</v>
      </c>
      <c r="S155" s="150"/>
      <c r="T155" s="150">
        <f>W155</f>
        <v>3877073.9299999997</v>
      </c>
      <c r="U155" s="150">
        <f>AB155</f>
        <v>3877073.9299999997</v>
      </c>
      <c r="W155" s="454">
        <f>SUM(X155:AA155)</f>
        <v>3877073.9299999997</v>
      </c>
      <c r="X155" s="398">
        <f>H155*K155</f>
        <v>2300321.12</v>
      </c>
      <c r="Y155" s="618">
        <f>H155*L155</f>
        <v>579407.80000000005</v>
      </c>
      <c r="Z155" s="398">
        <f>H155*M155</f>
        <v>997345.01</v>
      </c>
      <c r="AA155" s="151">
        <f>P155*V155</f>
        <v>0</v>
      </c>
      <c r="AB155" s="454">
        <f>SUM(AC155:AF155)</f>
        <v>3877073.9299999997</v>
      </c>
      <c r="AC155" s="398">
        <f>I155*K155</f>
        <v>2300321.12</v>
      </c>
      <c r="AD155" s="14">
        <f>I155*L155</f>
        <v>579407.80000000005</v>
      </c>
      <c r="AE155" s="398">
        <f>I155*M155</f>
        <v>997345.01</v>
      </c>
    </row>
    <row r="156" spans="1:31" ht="82.8" x14ac:dyDescent="0.25">
      <c r="A156" s="828"/>
      <c r="B156" s="834"/>
      <c r="C156" s="408" t="s">
        <v>25</v>
      </c>
      <c r="D156" s="19" t="s">
        <v>24</v>
      </c>
      <c r="E156" s="10" t="s">
        <v>26</v>
      </c>
      <c r="F156" s="10" t="s">
        <v>26</v>
      </c>
      <c r="G156" s="11" t="s">
        <v>26</v>
      </c>
      <c r="H156" s="418" t="s">
        <v>26</v>
      </c>
      <c r="I156" s="418" t="s">
        <v>26</v>
      </c>
      <c r="J156" s="429" t="s">
        <v>26</v>
      </c>
      <c r="K156" s="429" t="s">
        <v>26</v>
      </c>
      <c r="L156" s="429" t="s">
        <v>26</v>
      </c>
      <c r="M156" s="418" t="s">
        <v>26</v>
      </c>
      <c r="N156" s="430"/>
      <c r="O156" s="430"/>
      <c r="P156" s="429" t="s">
        <v>26</v>
      </c>
      <c r="Q156" s="429"/>
      <c r="R156" s="418" t="s">
        <v>26</v>
      </c>
      <c r="S156" s="10"/>
      <c r="T156" s="150"/>
      <c r="U156" s="150"/>
    </row>
    <row r="157" spans="1:31" x14ac:dyDescent="0.25">
      <c r="A157" s="828"/>
      <c r="B157" s="834"/>
      <c r="C157" s="408" t="s">
        <v>29</v>
      </c>
      <c r="D157" s="19" t="s">
        <v>24</v>
      </c>
      <c r="E157" s="446">
        <f>1-1</f>
        <v>0</v>
      </c>
      <c r="F157" s="613">
        <f>1-1</f>
        <v>0</v>
      </c>
      <c r="G157" s="11">
        <f>((E157*8)+(F157*4))/12</f>
        <v>0</v>
      </c>
      <c r="H157" s="447">
        <v>0</v>
      </c>
      <c r="I157" s="447">
        <v>0</v>
      </c>
      <c r="J157" s="151">
        <f>K157</f>
        <v>116417.19</v>
      </c>
      <c r="K157" s="151">
        <v>116417.19</v>
      </c>
      <c r="L157" s="429" t="s">
        <v>26</v>
      </c>
      <c r="M157" s="418" t="s">
        <v>26</v>
      </c>
      <c r="N157" s="430">
        <f>O157</f>
        <v>0</v>
      </c>
      <c r="O157" s="430">
        <f>G157*K157</f>
        <v>0</v>
      </c>
      <c r="P157" s="429" t="s">
        <v>26</v>
      </c>
      <c r="Q157" s="429"/>
      <c r="R157" s="418" t="s">
        <v>26</v>
      </c>
      <c r="S157" s="10"/>
      <c r="T157" s="150">
        <f>H157*K157</f>
        <v>0</v>
      </c>
      <c r="U157" s="150">
        <f>I157*K157</f>
        <v>0</v>
      </c>
    </row>
    <row r="158" spans="1:31" ht="82.95" customHeight="1" x14ac:dyDescent="0.25">
      <c r="A158" s="828"/>
      <c r="B158" s="835"/>
      <c r="C158" s="408" t="s">
        <v>35</v>
      </c>
      <c r="D158" s="19" t="s">
        <v>24</v>
      </c>
      <c r="E158" s="414"/>
      <c r="F158" s="414">
        <v>0</v>
      </c>
      <c r="G158" s="619">
        <f>((E158*8)+(F158*4))/12</f>
        <v>0</v>
      </c>
      <c r="H158" s="447">
        <v>0</v>
      </c>
      <c r="I158" s="447">
        <v>0</v>
      </c>
      <c r="J158" s="151">
        <f>SUM(K158:M158)</f>
        <v>388634.32</v>
      </c>
      <c r="K158" s="151">
        <f>349239.25+2726.4</f>
        <v>351965.65</v>
      </c>
      <c r="L158" s="387">
        <v>13474.6</v>
      </c>
      <c r="M158" s="484">
        <v>23194.07</v>
      </c>
      <c r="N158" s="398">
        <f>SUM(O158:R158)</f>
        <v>0</v>
      </c>
      <c r="O158" s="398">
        <f>G158*K158</f>
        <v>0</v>
      </c>
      <c r="P158" s="398">
        <f>G158*L158</f>
        <v>0</v>
      </c>
      <c r="Q158" s="398"/>
      <c r="R158" s="151">
        <f>G158*M158</f>
        <v>0</v>
      </c>
      <c r="S158" s="399"/>
      <c r="T158" s="150">
        <f>H158*J158</f>
        <v>0</v>
      </c>
      <c r="U158" s="150">
        <f>I158*J158</f>
        <v>0</v>
      </c>
    </row>
    <row r="159" spans="1:31" ht="17.399999999999999" customHeight="1" x14ac:dyDescent="0.25">
      <c r="A159" s="828"/>
      <c r="B159" s="405"/>
      <c r="C159" s="419" t="s">
        <v>58</v>
      </c>
      <c r="D159" s="19" t="s">
        <v>59</v>
      </c>
      <c r="E159" s="613">
        <v>2</v>
      </c>
      <c r="F159" s="613">
        <v>2</v>
      </c>
      <c r="G159" s="11">
        <f>((E159*8)+(F159*4))/12</f>
        <v>2</v>
      </c>
      <c r="H159" s="447">
        <v>2</v>
      </c>
      <c r="I159" s="447">
        <v>2</v>
      </c>
      <c r="J159" s="151">
        <f>SUM(K159:M159)</f>
        <v>234360</v>
      </c>
      <c r="K159" s="151">
        <f>10000*1.5*1.302*12</f>
        <v>234360</v>
      </c>
      <c r="L159" s="387"/>
      <c r="M159" s="14"/>
      <c r="N159" s="454">
        <f>SUM(O159:R159)</f>
        <v>468720</v>
      </c>
      <c r="O159" s="151">
        <f>K159*G159</f>
        <v>468720</v>
      </c>
      <c r="P159" s="398"/>
      <c r="Q159" s="398"/>
      <c r="R159" s="151"/>
      <c r="S159" s="399"/>
      <c r="T159" s="150">
        <f>H159*K159-468720</f>
        <v>0</v>
      </c>
      <c r="U159" s="150">
        <f>I159*K159-468720</f>
        <v>0</v>
      </c>
    </row>
    <row r="160" spans="1:31" ht="27.6" customHeight="1" x14ac:dyDescent="0.25">
      <c r="A160" s="828"/>
      <c r="B160" s="405"/>
      <c r="C160" s="420" t="s">
        <v>38</v>
      </c>
      <c r="D160" s="19"/>
      <c r="E160" s="614">
        <f>E155+E158</f>
        <v>43</v>
      </c>
      <c r="F160" s="704">
        <f>F155+F158</f>
        <v>43</v>
      </c>
      <c r="G160" s="614">
        <f>G155+G158</f>
        <v>43</v>
      </c>
      <c r="H160" s="616">
        <f>H155+H158</f>
        <v>43</v>
      </c>
      <c r="I160" s="616">
        <f>I155+I158</f>
        <v>43</v>
      </c>
      <c r="J160" s="398" t="s">
        <v>26</v>
      </c>
      <c r="K160" s="398" t="s">
        <v>26</v>
      </c>
      <c r="L160" s="398" t="s">
        <v>26</v>
      </c>
      <c r="M160" s="151" t="s">
        <v>26</v>
      </c>
      <c r="N160" s="416">
        <f>SUM(N155:N159)</f>
        <v>4345793.93</v>
      </c>
      <c r="O160" s="416">
        <f t="shared" ref="O160:U160" si="59">SUM(O155:O159)</f>
        <v>2769041.12</v>
      </c>
      <c r="P160" s="416">
        <f t="shared" si="59"/>
        <v>579407.80000000005</v>
      </c>
      <c r="Q160" s="416">
        <f t="shared" si="59"/>
        <v>0</v>
      </c>
      <c r="R160" s="653">
        <f t="shared" si="59"/>
        <v>997345.01</v>
      </c>
      <c r="S160" s="416">
        <f t="shared" si="59"/>
        <v>0</v>
      </c>
      <c r="T160" s="416">
        <f t="shared" si="59"/>
        <v>3877073.9299999997</v>
      </c>
      <c r="U160" s="416">
        <f t="shared" si="59"/>
        <v>3877073.9299999997</v>
      </c>
    </row>
    <row r="161" spans="1:31" ht="52.95" customHeight="1" x14ac:dyDescent="0.25">
      <c r="A161" s="828"/>
      <c r="B161" s="817" t="s">
        <v>317</v>
      </c>
      <c r="C161" s="819" t="s">
        <v>41</v>
      </c>
      <c r="D161" s="19" t="s">
        <v>24</v>
      </c>
      <c r="E161" s="705">
        <f>884+263-284</f>
        <v>863</v>
      </c>
      <c r="F161" s="447">
        <f>884+263</f>
        <v>1147</v>
      </c>
      <c r="G161" s="707">
        <v>958</v>
      </c>
      <c r="H161" s="778">
        <f>884+263-189</f>
        <v>958</v>
      </c>
      <c r="I161" s="778">
        <f>884+263-189</f>
        <v>958</v>
      </c>
      <c r="J161" s="151">
        <f>K161</f>
        <v>4592.9799999999996</v>
      </c>
      <c r="K161" s="151">
        <v>4592.9799999999996</v>
      </c>
      <c r="L161" s="398" t="s">
        <v>26</v>
      </c>
      <c r="M161" s="151" t="s">
        <v>26</v>
      </c>
      <c r="N161" s="398">
        <f>SUM(O161:R161)</f>
        <v>4400074.84</v>
      </c>
      <c r="O161" s="151">
        <f>G161*K161</f>
        <v>4400074.84</v>
      </c>
      <c r="P161" s="398" t="s">
        <v>26</v>
      </c>
      <c r="Q161" s="398"/>
      <c r="R161" s="151" t="s">
        <v>26</v>
      </c>
      <c r="S161" s="399"/>
      <c r="T161" s="150">
        <f>H161*J161</f>
        <v>4400074.84</v>
      </c>
      <c r="U161" s="150">
        <f>I161*J161</f>
        <v>4400074.84</v>
      </c>
    </row>
    <row r="162" spans="1:31" ht="48" customHeight="1" x14ac:dyDescent="0.25">
      <c r="A162" s="828"/>
      <c r="B162" s="818"/>
      <c r="C162" s="820"/>
      <c r="D162" s="436" t="s">
        <v>235</v>
      </c>
      <c r="E162" s="397">
        <v>46667</v>
      </c>
      <c r="F162" s="617">
        <v>46667</v>
      </c>
      <c r="G162" s="708">
        <f>((E162*8)+(F162*4))/12+4493</f>
        <v>51160</v>
      </c>
      <c r="H162" s="714">
        <f>46667+4493</f>
        <v>51160</v>
      </c>
      <c r="I162" s="714">
        <f>46667+4493</f>
        <v>51160</v>
      </c>
      <c r="J162" s="397">
        <f>K162</f>
        <v>86.00615402658326</v>
      </c>
      <c r="K162" s="397">
        <f>N162/G162</f>
        <v>86.00615402658326</v>
      </c>
      <c r="L162" s="396" t="s">
        <v>26</v>
      </c>
      <c r="M162" s="397" t="s">
        <v>26</v>
      </c>
      <c r="N162" s="396">
        <f>N161</f>
        <v>4400074.84</v>
      </c>
      <c r="O162" s="396">
        <f>O161</f>
        <v>4400074.84</v>
      </c>
      <c r="P162" s="396" t="s">
        <v>26</v>
      </c>
      <c r="Q162" s="396"/>
      <c r="R162" s="397" t="s">
        <v>26</v>
      </c>
      <c r="S162" s="396"/>
      <c r="T162" s="397">
        <f>T161/G162*H162</f>
        <v>4400074.84</v>
      </c>
      <c r="U162" s="397">
        <f>U161/G162*I162</f>
        <v>4400074.84</v>
      </c>
    </row>
    <row r="163" spans="1:31" ht="18.600000000000001" customHeight="1" x14ac:dyDescent="0.25">
      <c r="A163" s="828"/>
      <c r="B163" s="393"/>
      <c r="C163" s="404" t="s">
        <v>38</v>
      </c>
      <c r="D163" s="412"/>
      <c r="E163" s="613">
        <f>SUM(E161:E161)</f>
        <v>863</v>
      </c>
      <c r="F163" s="613">
        <f>SUM(F161:F161)</f>
        <v>1147</v>
      </c>
      <c r="G163" s="613">
        <f>SUM(G161:G161)</f>
        <v>958</v>
      </c>
      <c r="H163" s="447">
        <f>SUM(H161:H161)</f>
        <v>958</v>
      </c>
      <c r="I163" s="447">
        <f>SUM(I161:I161)</f>
        <v>958</v>
      </c>
      <c r="J163" s="398" t="s">
        <v>26</v>
      </c>
      <c r="K163" s="398" t="s">
        <v>26</v>
      </c>
      <c r="L163" s="398" t="s">
        <v>26</v>
      </c>
      <c r="M163" s="151">
        <f t="shared" ref="M163:U163" si="60">SUM(M161:M161)</f>
        <v>0</v>
      </c>
      <c r="N163" s="416">
        <f>SUM(N161:N161)</f>
        <v>4400074.84</v>
      </c>
      <c r="O163" s="398">
        <f t="shared" si="60"/>
        <v>4400074.84</v>
      </c>
      <c r="P163" s="398">
        <f t="shared" si="60"/>
        <v>0</v>
      </c>
      <c r="Q163" s="398"/>
      <c r="R163" s="151">
        <f t="shared" si="60"/>
        <v>0</v>
      </c>
      <c r="S163" s="399"/>
      <c r="T163" s="398">
        <f t="shared" si="60"/>
        <v>4400074.84</v>
      </c>
      <c r="U163" s="398">
        <f t="shared" si="60"/>
        <v>4400074.84</v>
      </c>
      <c r="V163" s="25"/>
      <c r="W163" s="25"/>
      <c r="X163" s="25"/>
    </row>
    <row r="164" spans="1:31" ht="27.6" x14ac:dyDescent="0.25">
      <c r="A164" s="828"/>
      <c r="B164" s="437" t="s">
        <v>45</v>
      </c>
      <c r="C164" s="27" t="s">
        <v>44</v>
      </c>
      <c r="D164" s="413" t="s">
        <v>46</v>
      </c>
      <c r="E164" s="613"/>
      <c r="F164" s="613"/>
      <c r="G164" s="11">
        <f>((E164*8)+(F164*4))/12</f>
        <v>0</v>
      </c>
      <c r="H164" s="613"/>
      <c r="I164" s="613"/>
      <c r="J164" s="398"/>
      <c r="K164" s="398"/>
      <c r="L164" s="398">
        <v>388918.35</v>
      </c>
      <c r="M164" s="151"/>
      <c r="N164" s="398">
        <f>P164</f>
        <v>0</v>
      </c>
      <c r="O164" s="398"/>
      <c r="P164" s="398">
        <f>G164*L164</f>
        <v>0</v>
      </c>
      <c r="Q164" s="398"/>
      <c r="R164" s="151"/>
      <c r="S164" s="399"/>
      <c r="T164" s="150">
        <f>P164</f>
        <v>0</v>
      </c>
      <c r="U164" s="150">
        <f t="shared" ref="U164:U170" si="61">T164</f>
        <v>0</v>
      </c>
      <c r="V164" s="25"/>
      <c r="W164" s="25"/>
    </row>
    <row r="165" spans="1:31" ht="27.6" hidden="1" x14ac:dyDescent="0.25">
      <c r="A165" s="828"/>
      <c r="B165" s="437" t="s">
        <v>45</v>
      </c>
      <c r="C165" s="27" t="s">
        <v>44</v>
      </c>
      <c r="D165" s="413" t="s">
        <v>46</v>
      </c>
      <c r="E165" s="613"/>
      <c r="F165" s="613"/>
      <c r="G165" s="11">
        <f t="shared" ref="G165:G168" si="62">((E165*8)+(F165*4))/12</f>
        <v>0</v>
      </c>
      <c r="H165" s="447">
        <v>14</v>
      </c>
      <c r="I165" s="447">
        <v>14</v>
      </c>
      <c r="J165" s="398"/>
      <c r="K165" s="398"/>
      <c r="L165" s="398"/>
      <c r="M165" s="151"/>
      <c r="N165" s="398">
        <f t="shared" ref="N165:N168" si="63">P165</f>
        <v>0</v>
      </c>
      <c r="O165" s="398"/>
      <c r="P165" s="398">
        <f t="shared" ref="P165:P168" si="64">G165*L165</f>
        <v>0</v>
      </c>
      <c r="Q165" s="398"/>
      <c r="R165" s="151"/>
      <c r="S165" s="399"/>
      <c r="T165" s="150"/>
      <c r="U165" s="150">
        <f t="shared" si="61"/>
        <v>0</v>
      </c>
    </row>
    <row r="166" spans="1:31" ht="27.6" hidden="1" x14ac:dyDescent="0.25">
      <c r="A166" s="828"/>
      <c r="B166" s="437" t="s">
        <v>45</v>
      </c>
      <c r="C166" s="27" t="s">
        <v>44</v>
      </c>
      <c r="D166" s="413" t="s">
        <v>46</v>
      </c>
      <c r="E166" s="613"/>
      <c r="F166" s="613"/>
      <c r="G166" s="11">
        <f t="shared" si="62"/>
        <v>0</v>
      </c>
      <c r="H166" s="447"/>
      <c r="I166" s="447"/>
      <c r="J166" s="398"/>
      <c r="K166" s="398"/>
      <c r="L166" s="398"/>
      <c r="M166" s="151"/>
      <c r="N166" s="398">
        <f t="shared" si="63"/>
        <v>0</v>
      </c>
      <c r="O166" s="398"/>
      <c r="P166" s="398">
        <f t="shared" si="64"/>
        <v>0</v>
      </c>
      <c r="Q166" s="398"/>
      <c r="R166" s="151"/>
      <c r="S166" s="399"/>
      <c r="T166" s="150">
        <f>Q166</f>
        <v>0</v>
      </c>
      <c r="U166" s="150">
        <f t="shared" si="61"/>
        <v>0</v>
      </c>
    </row>
    <row r="167" spans="1:31" ht="27.6" hidden="1" x14ac:dyDescent="0.25">
      <c r="A167" s="828"/>
      <c r="B167" s="437" t="s">
        <v>45</v>
      </c>
      <c r="C167" s="27" t="s">
        <v>44</v>
      </c>
      <c r="D167" s="413" t="s">
        <v>46</v>
      </c>
      <c r="E167" s="613"/>
      <c r="F167" s="613"/>
      <c r="G167" s="11">
        <f t="shared" si="62"/>
        <v>0</v>
      </c>
      <c r="H167" s="447">
        <v>14</v>
      </c>
      <c r="I167" s="447">
        <v>14</v>
      </c>
      <c r="J167" s="398"/>
      <c r="K167" s="398"/>
      <c r="L167" s="398"/>
      <c r="M167" s="151"/>
      <c r="N167" s="398">
        <f t="shared" si="63"/>
        <v>0</v>
      </c>
      <c r="O167" s="398"/>
      <c r="P167" s="398">
        <f t="shared" si="64"/>
        <v>0</v>
      </c>
      <c r="Q167" s="398"/>
      <c r="R167" s="151"/>
      <c r="S167" s="399"/>
      <c r="T167" s="150"/>
      <c r="U167" s="150"/>
    </row>
    <row r="168" spans="1:31" ht="27.6" x14ac:dyDescent="0.25">
      <c r="A168" s="828"/>
      <c r="B168" s="437" t="s">
        <v>45</v>
      </c>
      <c r="C168" s="27" t="s">
        <v>44</v>
      </c>
      <c r="D168" s="413" t="s">
        <v>46</v>
      </c>
      <c r="E168" s="613">
        <v>9</v>
      </c>
      <c r="F168" s="613">
        <v>9</v>
      </c>
      <c r="G168" s="11">
        <f t="shared" si="62"/>
        <v>9</v>
      </c>
      <c r="H168" s="613">
        <v>9</v>
      </c>
      <c r="I168" s="613">
        <v>9</v>
      </c>
      <c r="J168" s="398"/>
      <c r="K168" s="398"/>
      <c r="L168" s="398">
        <v>419011.08</v>
      </c>
      <c r="M168" s="151"/>
      <c r="N168" s="398">
        <f t="shared" si="63"/>
        <v>3771099.72</v>
      </c>
      <c r="O168" s="398"/>
      <c r="P168" s="398">
        <f t="shared" si="64"/>
        <v>3771099.72</v>
      </c>
      <c r="Q168" s="398"/>
      <c r="R168" s="151"/>
      <c r="S168" s="399"/>
      <c r="T168" s="150">
        <f>H168*L168</f>
        <v>3771099.72</v>
      </c>
      <c r="U168" s="150">
        <f>I168*L168</f>
        <v>3771099.72</v>
      </c>
    </row>
    <row r="169" spans="1:31" ht="14.4" customHeight="1" x14ac:dyDescent="0.25">
      <c r="A169" s="828"/>
      <c r="B169" s="27" t="s">
        <v>47</v>
      </c>
      <c r="C169" s="27" t="s">
        <v>44</v>
      </c>
      <c r="D169" s="19"/>
      <c r="E169" s="613">
        <v>20</v>
      </c>
      <c r="F169" s="613">
        <v>20</v>
      </c>
      <c r="G169" s="613">
        <v>20</v>
      </c>
      <c r="H169" s="447">
        <v>20</v>
      </c>
      <c r="I169" s="447">
        <v>20</v>
      </c>
      <c r="J169" s="398"/>
      <c r="K169" s="398"/>
      <c r="L169" s="398"/>
      <c r="M169" s="151"/>
      <c r="N169" s="454">
        <f>SUM(O169:R169)</f>
        <v>4687200</v>
      </c>
      <c r="O169" s="151">
        <f>O159+O153+O142</f>
        <v>4687200</v>
      </c>
      <c r="P169" s="398"/>
      <c r="Q169" s="398"/>
      <c r="R169" s="151"/>
      <c r="S169" s="399"/>
      <c r="T169" s="150">
        <f>T159+T153+T142</f>
        <v>0</v>
      </c>
      <c r="U169" s="150">
        <f>U159+U153+U142</f>
        <v>0</v>
      </c>
    </row>
    <row r="170" spans="1:31" hidden="1" x14ac:dyDescent="0.25">
      <c r="A170" s="828"/>
      <c r="B170" s="27" t="s">
        <v>48</v>
      </c>
      <c r="C170" s="27" t="s">
        <v>44</v>
      </c>
      <c r="D170" s="19"/>
      <c r="E170" s="613"/>
      <c r="F170" s="613"/>
      <c r="G170" s="613"/>
      <c r="H170" s="447"/>
      <c r="I170" s="447"/>
      <c r="J170" s="398"/>
      <c r="K170" s="398"/>
      <c r="L170" s="398"/>
      <c r="M170" s="151"/>
      <c r="N170" s="398">
        <f>O170</f>
        <v>0</v>
      </c>
      <c r="O170" s="398"/>
      <c r="P170" s="398"/>
      <c r="Q170" s="398"/>
      <c r="R170" s="151"/>
      <c r="S170" s="399"/>
      <c r="T170" s="150">
        <f>O170</f>
        <v>0</v>
      </c>
      <c r="U170" s="150">
        <f t="shared" si="61"/>
        <v>0</v>
      </c>
    </row>
    <row r="171" spans="1:31" hidden="1" x14ac:dyDescent="0.25">
      <c r="A171" s="828"/>
      <c r="B171" s="27" t="s">
        <v>49</v>
      </c>
      <c r="C171" s="27" t="s">
        <v>44</v>
      </c>
      <c r="D171" s="19"/>
      <c r="E171" s="613"/>
      <c r="F171" s="613"/>
      <c r="G171" s="613"/>
      <c r="H171" s="447"/>
      <c r="I171" s="447"/>
      <c r="J171" s="398"/>
      <c r="K171" s="398"/>
      <c r="L171" s="398"/>
      <c r="M171" s="151"/>
      <c r="N171" s="398">
        <f>P171</f>
        <v>0</v>
      </c>
      <c r="O171" s="398"/>
      <c r="P171" s="398"/>
      <c r="Q171" s="398"/>
      <c r="R171" s="151"/>
      <c r="S171" s="399"/>
      <c r="T171" s="150"/>
      <c r="U171" s="150">
        <f>T171</f>
        <v>0</v>
      </c>
    </row>
    <row r="172" spans="1:31" ht="26.4" customHeight="1" x14ac:dyDescent="0.25">
      <c r="A172" s="829"/>
      <c r="B172" s="426" t="s">
        <v>50</v>
      </c>
      <c r="C172" s="426"/>
      <c r="D172" s="412"/>
      <c r="E172" s="616">
        <f>E143+E154+E160</f>
        <v>521</v>
      </c>
      <c r="F172" s="616">
        <f>F143+F154+F160</f>
        <v>513</v>
      </c>
      <c r="G172" s="770">
        <f>G143+G154+G160</f>
        <v>518</v>
      </c>
      <c r="H172" s="770">
        <f>H143+H154+H160</f>
        <v>518</v>
      </c>
      <c r="I172" s="770">
        <f>I143+I154+I160</f>
        <v>518</v>
      </c>
      <c r="J172" s="416"/>
      <c r="K172" s="416"/>
      <c r="L172" s="416"/>
      <c r="M172" s="154"/>
      <c r="N172" s="416">
        <f>SUM(O172:S172)</f>
        <v>63729005.929999985</v>
      </c>
      <c r="O172" s="154">
        <f>O143+O154+O160+O163+O170</f>
        <v>40963535.149999991</v>
      </c>
      <c r="P172" s="416">
        <f>P143+P154+P160+P163+P164+P165+P166+P168+P171</f>
        <v>10750942.52</v>
      </c>
      <c r="Q172" s="416">
        <f>Q143+Q154+Q160+Q163+Q164+Q165+Q166</f>
        <v>0</v>
      </c>
      <c r="R172" s="653">
        <f>R143+R154+R160+R163+R164+R165+R166+R167</f>
        <v>12014528.26</v>
      </c>
      <c r="S172" s="425">
        <f>S143+S154+S160+S163+S164+S165+S166+S167</f>
        <v>0</v>
      </c>
      <c r="T172" s="425">
        <f>T143+T154+T160+T163+T164+T165+T166+T167+T168+T169+T170+T171</f>
        <v>59041805.929999992</v>
      </c>
      <c r="U172" s="425">
        <f>U143+U154+U160+U163+U164+U165+U166+U167+U168+U169+U170+U171</f>
        <v>59041805.929999992</v>
      </c>
      <c r="X172" s="25"/>
      <c r="AB172" s="25"/>
    </row>
    <row r="173" spans="1:31" ht="73.2" customHeight="1" x14ac:dyDescent="0.25">
      <c r="A173" s="827" t="s">
        <v>61</v>
      </c>
      <c r="B173" s="833" t="s">
        <v>112</v>
      </c>
      <c r="C173" s="22" t="s">
        <v>23</v>
      </c>
      <c r="D173" s="19" t="s">
        <v>24</v>
      </c>
      <c r="E173" s="418">
        <v>309</v>
      </c>
      <c r="F173" s="692">
        <f>309-7</f>
        <v>302</v>
      </c>
      <c r="G173" s="766">
        <f>283+5+19</f>
        <v>307</v>
      </c>
      <c r="H173" s="766">
        <f>283+5+19</f>
        <v>307</v>
      </c>
      <c r="I173" s="766">
        <f>283+5+19</f>
        <v>307</v>
      </c>
      <c r="J173" s="387">
        <f>SUM(K173:M173)</f>
        <v>66864.34</v>
      </c>
      <c r="K173" s="387">
        <f>28292.04+2198.86</f>
        <v>30490.9</v>
      </c>
      <c r="L173" s="387">
        <v>13179.37</v>
      </c>
      <c r="M173" s="485">
        <v>23194.07</v>
      </c>
      <c r="N173" s="430">
        <f>SUM(O173:R173)</f>
        <v>20527352.380000003</v>
      </c>
      <c r="O173" s="430">
        <f>G173*K173</f>
        <v>9360706.3000000007</v>
      </c>
      <c r="P173" s="430">
        <f>G173*L173</f>
        <v>4046066.5900000003</v>
      </c>
      <c r="Q173" s="430"/>
      <c r="R173" s="151">
        <f>G173*M173</f>
        <v>7120579.4900000002</v>
      </c>
      <c r="S173" s="150"/>
      <c r="T173" s="150">
        <f>W173</f>
        <v>20527352.380000003</v>
      </c>
      <c r="U173" s="150">
        <f>AB173</f>
        <v>20527352.380000003</v>
      </c>
      <c r="W173" s="454">
        <f>SUM(X173:AA173)</f>
        <v>20527352.380000003</v>
      </c>
      <c r="X173" s="398">
        <f>H173*K173</f>
        <v>9360706.3000000007</v>
      </c>
      <c r="Y173" s="14">
        <f>H173*L173</f>
        <v>4046066.5900000003</v>
      </c>
      <c r="Z173" s="398">
        <f>H173*M173</f>
        <v>7120579.4900000002</v>
      </c>
      <c r="AB173" s="454">
        <f>SUM(AC173:AF173)</f>
        <v>20527352.380000003</v>
      </c>
      <c r="AC173" s="398">
        <f>I173*K173</f>
        <v>9360706.3000000007</v>
      </c>
      <c r="AD173" s="14">
        <f>I173*L173</f>
        <v>4046066.5900000003</v>
      </c>
      <c r="AE173" s="398">
        <f>I173*M173</f>
        <v>7120579.4900000002</v>
      </c>
    </row>
    <row r="174" spans="1:31" ht="86.4" customHeight="1" x14ac:dyDescent="0.25">
      <c r="A174" s="828"/>
      <c r="B174" s="834"/>
      <c r="C174" s="22" t="s">
        <v>25</v>
      </c>
      <c r="D174" s="403" t="s">
        <v>24</v>
      </c>
      <c r="E174" s="10" t="s">
        <v>26</v>
      </c>
      <c r="F174" s="10" t="s">
        <v>26</v>
      </c>
      <c r="G174" s="11" t="s">
        <v>26</v>
      </c>
      <c r="H174" s="418" t="s">
        <v>26</v>
      </c>
      <c r="I174" s="418" t="s">
        <v>26</v>
      </c>
      <c r="J174" s="429" t="s">
        <v>26</v>
      </c>
      <c r="K174" s="429" t="s">
        <v>26</v>
      </c>
      <c r="L174" s="429" t="s">
        <v>26</v>
      </c>
      <c r="M174" s="418" t="s">
        <v>26</v>
      </c>
      <c r="N174" s="430"/>
      <c r="O174" s="430"/>
      <c r="P174" s="429" t="s">
        <v>26</v>
      </c>
      <c r="Q174" s="429"/>
      <c r="R174" s="418" t="s">
        <v>26</v>
      </c>
      <c r="S174" s="10"/>
      <c r="T174" s="150"/>
      <c r="U174" s="150"/>
      <c r="AB174" s="25"/>
    </row>
    <row r="175" spans="1:31" x14ac:dyDescent="0.25">
      <c r="A175" s="828"/>
      <c r="B175" s="834"/>
      <c r="C175" s="388" t="s">
        <v>27</v>
      </c>
      <c r="D175" s="403" t="s">
        <v>24</v>
      </c>
      <c r="E175" s="10"/>
      <c r="F175" s="10"/>
      <c r="G175" s="11"/>
      <c r="H175" s="11"/>
      <c r="I175" s="11"/>
      <c r="J175" s="151">
        <f t="shared" ref="J175:J181" si="65">K175</f>
        <v>131161.82999999999</v>
      </c>
      <c r="K175" s="430">
        <v>131161.82999999999</v>
      </c>
      <c r="L175" s="429" t="s">
        <v>26</v>
      </c>
      <c r="M175" s="418" t="s">
        <v>26</v>
      </c>
      <c r="N175" s="430">
        <f t="shared" ref="N175:N181" si="66">O175</f>
        <v>0</v>
      </c>
      <c r="O175" s="430">
        <f>G175*K175</f>
        <v>0</v>
      </c>
      <c r="P175" s="429" t="s">
        <v>26</v>
      </c>
      <c r="Q175" s="429"/>
      <c r="R175" s="418"/>
      <c r="S175" s="10"/>
      <c r="T175" s="150">
        <f t="shared" ref="T175:T181" si="67">H175*K175</f>
        <v>0</v>
      </c>
      <c r="U175" s="150">
        <f t="shared" ref="U175:U181" si="68">I175*K175</f>
        <v>0</v>
      </c>
      <c r="AB175" s="25"/>
    </row>
    <row r="176" spans="1:31" x14ac:dyDescent="0.25">
      <c r="A176" s="828"/>
      <c r="B176" s="834"/>
      <c r="C176" s="388" t="s">
        <v>28</v>
      </c>
      <c r="D176" s="403" t="s">
        <v>24</v>
      </c>
      <c r="E176" s="11">
        <f>16-2</f>
        <v>14</v>
      </c>
      <c r="F176" s="691">
        <f>16-3</f>
        <v>13</v>
      </c>
      <c r="G176" s="448">
        <f>14-5</f>
        <v>9</v>
      </c>
      <c r="H176" s="448">
        <f>14-5</f>
        <v>9</v>
      </c>
      <c r="I176" s="448">
        <f>14-5</f>
        <v>9</v>
      </c>
      <c r="J176" s="151">
        <f t="shared" si="65"/>
        <v>148317.25</v>
      </c>
      <c r="K176" s="430">
        <v>148317.25</v>
      </c>
      <c r="L176" s="429" t="s">
        <v>26</v>
      </c>
      <c r="M176" s="418" t="s">
        <v>26</v>
      </c>
      <c r="N176" s="430">
        <f t="shared" si="66"/>
        <v>1334855.25</v>
      </c>
      <c r="O176" s="430">
        <f t="shared" ref="O176:O181" si="69">G176*K176</f>
        <v>1334855.25</v>
      </c>
      <c r="P176" s="429" t="s">
        <v>26</v>
      </c>
      <c r="Q176" s="429"/>
      <c r="R176" s="418" t="s">
        <v>26</v>
      </c>
      <c r="S176" s="10"/>
      <c r="T176" s="150">
        <f t="shared" si="67"/>
        <v>1334855.25</v>
      </c>
      <c r="U176" s="150">
        <f t="shared" si="68"/>
        <v>1334855.25</v>
      </c>
      <c r="AB176" s="25"/>
    </row>
    <row r="177" spans="1:31" x14ac:dyDescent="0.25">
      <c r="A177" s="828"/>
      <c r="B177" s="834"/>
      <c r="C177" s="388" t="s">
        <v>29</v>
      </c>
      <c r="D177" s="403" t="s">
        <v>24</v>
      </c>
      <c r="E177" s="11"/>
      <c r="F177" s="691"/>
      <c r="G177" s="11"/>
      <c r="H177" s="11"/>
      <c r="I177" s="11"/>
      <c r="J177" s="151">
        <f t="shared" si="65"/>
        <v>175051.01</v>
      </c>
      <c r="K177" s="430">
        <v>175051.01</v>
      </c>
      <c r="L177" s="429" t="s">
        <v>26</v>
      </c>
      <c r="M177" s="418" t="s">
        <v>26</v>
      </c>
      <c r="N177" s="430">
        <f t="shared" si="66"/>
        <v>0</v>
      </c>
      <c r="O177" s="430">
        <f t="shared" si="69"/>
        <v>0</v>
      </c>
      <c r="P177" s="429"/>
      <c r="Q177" s="429"/>
      <c r="R177" s="418"/>
      <c r="S177" s="10"/>
      <c r="T177" s="150">
        <f>H177*K177</f>
        <v>0</v>
      </c>
      <c r="U177" s="150">
        <f t="shared" si="68"/>
        <v>0</v>
      </c>
    </row>
    <row r="178" spans="1:31" x14ac:dyDescent="0.25">
      <c r="A178" s="828"/>
      <c r="B178" s="834"/>
      <c r="C178" s="388" t="s">
        <v>30</v>
      </c>
      <c r="D178" s="403" t="s">
        <v>24</v>
      </c>
      <c r="E178" s="11">
        <f>11-2</f>
        <v>9</v>
      </c>
      <c r="F178" s="691">
        <f>11-5</f>
        <v>6</v>
      </c>
      <c r="G178" s="448">
        <v>9</v>
      </c>
      <c r="H178" s="448">
        <v>9</v>
      </c>
      <c r="I178" s="448">
        <v>9</v>
      </c>
      <c r="J178" s="151">
        <f t="shared" si="65"/>
        <v>146008.26</v>
      </c>
      <c r="K178" s="151">
        <v>146008.26</v>
      </c>
      <c r="L178" s="429" t="s">
        <v>26</v>
      </c>
      <c r="M178" s="418" t="s">
        <v>26</v>
      </c>
      <c r="N178" s="430">
        <f t="shared" si="66"/>
        <v>1314074.3400000001</v>
      </c>
      <c r="O178" s="430">
        <f t="shared" si="69"/>
        <v>1314074.3400000001</v>
      </c>
      <c r="P178" s="429" t="s">
        <v>26</v>
      </c>
      <c r="Q178" s="429"/>
      <c r="R178" s="418" t="s">
        <v>26</v>
      </c>
      <c r="S178" s="10"/>
      <c r="T178" s="150">
        <f t="shared" si="67"/>
        <v>1314074.3400000001</v>
      </c>
      <c r="U178" s="150">
        <f t="shared" si="68"/>
        <v>1314074.3400000001</v>
      </c>
    </row>
    <row r="179" spans="1:31" x14ac:dyDescent="0.25">
      <c r="A179" s="828"/>
      <c r="B179" s="834"/>
      <c r="C179" s="388" t="s">
        <v>31</v>
      </c>
      <c r="D179" s="403" t="s">
        <v>24</v>
      </c>
      <c r="E179" s="448"/>
      <c r="F179" s="691">
        <v>1</v>
      </c>
      <c r="G179" s="448">
        <v>1</v>
      </c>
      <c r="H179" s="448">
        <v>1</v>
      </c>
      <c r="I179" s="448">
        <v>1</v>
      </c>
      <c r="J179" s="151">
        <f t="shared" si="65"/>
        <v>165472.68</v>
      </c>
      <c r="K179" s="151">
        <v>165472.68</v>
      </c>
      <c r="L179" s="429" t="s">
        <v>26</v>
      </c>
      <c r="M179" s="418" t="s">
        <v>26</v>
      </c>
      <c r="N179" s="430">
        <f t="shared" si="66"/>
        <v>165472.68</v>
      </c>
      <c r="O179" s="430">
        <f t="shared" si="69"/>
        <v>165472.68</v>
      </c>
      <c r="P179" s="429" t="s">
        <v>26</v>
      </c>
      <c r="Q179" s="429"/>
      <c r="R179" s="418" t="s">
        <v>26</v>
      </c>
      <c r="S179" s="10"/>
      <c r="T179" s="150">
        <f t="shared" si="67"/>
        <v>165472.68</v>
      </c>
      <c r="U179" s="150">
        <f t="shared" si="68"/>
        <v>165472.68</v>
      </c>
    </row>
    <row r="180" spans="1:31" x14ac:dyDescent="0.25">
      <c r="A180" s="828"/>
      <c r="B180" s="834"/>
      <c r="C180" s="388" t="s">
        <v>33</v>
      </c>
      <c r="D180" s="403" t="s">
        <v>24</v>
      </c>
      <c r="E180" s="10"/>
      <c r="F180" s="10"/>
      <c r="G180" s="11"/>
      <c r="H180" s="418"/>
      <c r="I180" s="418"/>
      <c r="J180" s="151">
        <f t="shared" si="65"/>
        <v>188155.03</v>
      </c>
      <c r="K180" s="151">
        <v>188155.03</v>
      </c>
      <c r="L180" s="429" t="s">
        <v>26</v>
      </c>
      <c r="M180" s="418" t="s">
        <v>26</v>
      </c>
      <c r="N180" s="430">
        <f t="shared" si="66"/>
        <v>0</v>
      </c>
      <c r="O180" s="430">
        <f t="shared" si="69"/>
        <v>0</v>
      </c>
      <c r="P180" s="429" t="s">
        <v>26</v>
      </c>
      <c r="Q180" s="429"/>
      <c r="R180" s="418" t="s">
        <v>26</v>
      </c>
      <c r="S180" s="10"/>
      <c r="T180" s="150">
        <f t="shared" si="67"/>
        <v>0</v>
      </c>
      <c r="U180" s="150">
        <f t="shared" si="68"/>
        <v>0</v>
      </c>
    </row>
    <row r="181" spans="1:31" x14ac:dyDescent="0.25">
      <c r="A181" s="828"/>
      <c r="B181" s="834"/>
      <c r="C181" s="388" t="s">
        <v>34</v>
      </c>
      <c r="D181" s="403" t="s">
        <v>24</v>
      </c>
      <c r="E181" s="10"/>
      <c r="F181" s="10"/>
      <c r="G181" s="11"/>
      <c r="H181" s="418"/>
      <c r="I181" s="418"/>
      <c r="J181" s="151">
        <f t="shared" si="65"/>
        <v>129594.64</v>
      </c>
      <c r="K181" s="151">
        <v>129594.64</v>
      </c>
      <c r="L181" s="429" t="s">
        <v>26</v>
      </c>
      <c r="M181" s="418" t="s">
        <v>26</v>
      </c>
      <c r="N181" s="430">
        <f t="shared" si="66"/>
        <v>0</v>
      </c>
      <c r="O181" s="430">
        <f t="shared" si="69"/>
        <v>0</v>
      </c>
      <c r="P181" s="429" t="s">
        <v>26</v>
      </c>
      <c r="Q181" s="429"/>
      <c r="R181" s="418" t="s">
        <v>26</v>
      </c>
      <c r="S181" s="10"/>
      <c r="T181" s="150">
        <f t="shared" si="67"/>
        <v>0</v>
      </c>
      <c r="U181" s="150">
        <f t="shared" si="68"/>
        <v>0</v>
      </c>
    </row>
    <row r="182" spans="1:31" ht="82.95" customHeight="1" x14ac:dyDescent="0.25">
      <c r="A182" s="828"/>
      <c r="B182" s="834"/>
      <c r="C182" s="408" t="s">
        <v>35</v>
      </c>
      <c r="D182" s="19" t="s">
        <v>24</v>
      </c>
      <c r="E182" s="418">
        <v>1</v>
      </c>
      <c r="F182" s="692">
        <v>1</v>
      </c>
      <c r="G182" s="766">
        <v>1</v>
      </c>
      <c r="H182" s="766">
        <v>1</v>
      </c>
      <c r="I182" s="766">
        <v>1</v>
      </c>
      <c r="J182" s="151">
        <f>SUM(K182:M182)</f>
        <v>317375.64</v>
      </c>
      <c r="K182" s="151">
        <f>278803.34+2198.86</f>
        <v>281002.2</v>
      </c>
      <c r="L182" s="387">
        <v>13179.37</v>
      </c>
      <c r="M182" s="485">
        <v>23194.07</v>
      </c>
      <c r="N182" s="432">
        <f>SUM(O182:R182)</f>
        <v>317375.64</v>
      </c>
      <c r="O182" s="432">
        <f>G182*K182</f>
        <v>281002.2</v>
      </c>
      <c r="P182" s="650">
        <f>G182*L182</f>
        <v>13179.37</v>
      </c>
      <c r="Q182" s="432"/>
      <c r="R182" s="151">
        <f>G182*M182</f>
        <v>23194.07</v>
      </c>
      <c r="S182" s="150"/>
      <c r="T182" s="150">
        <f>W182</f>
        <v>317375.64</v>
      </c>
      <c r="U182" s="150">
        <f>AB182</f>
        <v>317375.64</v>
      </c>
      <c r="W182" s="454">
        <f>SUM(X182:AA182)</f>
        <v>317375.64</v>
      </c>
      <c r="X182" s="398">
        <f>H182*K182</f>
        <v>281002.2</v>
      </c>
      <c r="Y182" s="14">
        <f>H182*L182</f>
        <v>13179.37</v>
      </c>
      <c r="Z182" s="398">
        <f>H182*M182</f>
        <v>23194.07</v>
      </c>
      <c r="AB182" s="454">
        <f>SUM(AC182:AF182)</f>
        <v>317375.64</v>
      </c>
      <c r="AC182" s="398">
        <f>I182*K182</f>
        <v>281002.2</v>
      </c>
      <c r="AD182" s="14">
        <f>I182*L182</f>
        <v>13179.37</v>
      </c>
      <c r="AE182" s="398">
        <f>I182*M182</f>
        <v>23194.07</v>
      </c>
    </row>
    <row r="183" spans="1:31" ht="82.95" customHeight="1" x14ac:dyDescent="0.25">
      <c r="A183" s="828"/>
      <c r="B183" s="834"/>
      <c r="C183" s="408" t="s">
        <v>62</v>
      </c>
      <c r="D183" s="19" t="s">
        <v>24</v>
      </c>
      <c r="E183" s="11">
        <v>0</v>
      </c>
      <c r="F183" s="11">
        <v>0</v>
      </c>
      <c r="G183" s="449">
        <f t="shared" ref="G183:G195" si="70">((E183*8)+(F183*4))/12</f>
        <v>0</v>
      </c>
      <c r="H183" s="450">
        <v>0</v>
      </c>
      <c r="I183" s="450">
        <v>0</v>
      </c>
      <c r="J183" s="151">
        <f>K183</f>
        <v>33623.980000000003</v>
      </c>
      <c r="K183" s="151">
        <v>33623.980000000003</v>
      </c>
      <c r="L183" s="151" t="s">
        <v>26</v>
      </c>
      <c r="M183" s="151" t="s">
        <v>26</v>
      </c>
      <c r="N183" s="432">
        <f>SUM(O183:R183)</f>
        <v>0</v>
      </c>
      <c r="O183" s="432">
        <f>G183*K183</f>
        <v>0</v>
      </c>
      <c r="P183" s="432"/>
      <c r="Q183" s="432"/>
      <c r="R183" s="14"/>
      <c r="S183" s="433"/>
      <c r="T183" s="150">
        <f>H183*J183</f>
        <v>0</v>
      </c>
      <c r="U183" s="150">
        <f>I183*J183</f>
        <v>0</v>
      </c>
      <c r="AB183" s="25"/>
    </row>
    <row r="184" spans="1:31" ht="21" customHeight="1" x14ac:dyDescent="0.25">
      <c r="A184" s="828"/>
      <c r="B184" s="834"/>
      <c r="C184" s="422" t="s">
        <v>58</v>
      </c>
      <c r="D184" s="19" t="s">
        <v>59</v>
      </c>
      <c r="E184" s="11">
        <v>12</v>
      </c>
      <c r="F184" s="11">
        <v>12</v>
      </c>
      <c r="G184" s="11">
        <f t="shared" si="70"/>
        <v>12</v>
      </c>
      <c r="H184" s="418">
        <v>12</v>
      </c>
      <c r="I184" s="418">
        <v>12</v>
      </c>
      <c r="J184" s="151">
        <f>K184</f>
        <v>234360</v>
      </c>
      <c r="K184" s="151">
        <f>10000*1.5*1.302*12</f>
        <v>234360</v>
      </c>
      <c r="L184" s="151"/>
      <c r="M184" s="151"/>
      <c r="N184" s="484">
        <f>SUM(O184:R184)</f>
        <v>2812320</v>
      </c>
      <c r="O184" s="14">
        <f>G184*K184</f>
        <v>2812320</v>
      </c>
      <c r="P184" s="432"/>
      <c r="Q184" s="432"/>
      <c r="R184" s="14"/>
      <c r="S184" s="433"/>
      <c r="T184" s="150">
        <f>H184*K184-2812320</f>
        <v>0</v>
      </c>
      <c r="U184" s="150">
        <f>I184*K184-2812320</f>
        <v>0</v>
      </c>
      <c r="AB184" s="25"/>
    </row>
    <row r="185" spans="1:31" ht="26.4" customHeight="1" x14ac:dyDescent="0.25">
      <c r="A185" s="828"/>
      <c r="B185" s="835"/>
      <c r="C185" s="423" t="s">
        <v>38</v>
      </c>
      <c r="D185" s="19" t="s">
        <v>24</v>
      </c>
      <c r="E185" s="620">
        <f>E173+E182</f>
        <v>310</v>
      </c>
      <c r="F185" s="698">
        <f>F173+F182</f>
        <v>303</v>
      </c>
      <c r="G185" s="781">
        <f>G173+G182</f>
        <v>308</v>
      </c>
      <c r="H185" s="781">
        <f>H173+H182</f>
        <v>308</v>
      </c>
      <c r="I185" s="781">
        <f>I173+I182</f>
        <v>308</v>
      </c>
      <c r="J185" s="432" t="s">
        <v>26</v>
      </c>
      <c r="K185" s="432" t="s">
        <v>26</v>
      </c>
      <c r="L185" s="432" t="s">
        <v>26</v>
      </c>
      <c r="M185" s="14" t="s">
        <v>26</v>
      </c>
      <c r="N185" s="434">
        <f>SUM(N173:N184)</f>
        <v>26471450.290000003</v>
      </c>
      <c r="O185" s="434">
        <f t="shared" ref="O185:U185" si="71">SUM(O173:O184)</f>
        <v>15268430.77</v>
      </c>
      <c r="P185" s="434">
        <f t="shared" si="71"/>
        <v>4059245.9600000004</v>
      </c>
      <c r="Q185" s="434">
        <f t="shared" si="71"/>
        <v>0</v>
      </c>
      <c r="R185" s="801">
        <f t="shared" si="71"/>
        <v>7143773.5600000005</v>
      </c>
      <c r="S185" s="434">
        <f t="shared" si="71"/>
        <v>0</v>
      </c>
      <c r="T185" s="434">
        <f t="shared" si="71"/>
        <v>23659130.290000003</v>
      </c>
      <c r="U185" s="434">
        <f t="shared" si="71"/>
        <v>23659130.290000003</v>
      </c>
      <c r="AA185" s="25"/>
    </row>
    <row r="186" spans="1:31" ht="82.95" customHeight="1" x14ac:dyDescent="0.25">
      <c r="A186" s="828"/>
      <c r="B186" s="833" t="s">
        <v>448</v>
      </c>
      <c r="C186" s="22" t="s">
        <v>23</v>
      </c>
      <c r="D186" s="19" t="s">
        <v>24</v>
      </c>
      <c r="E186" s="702">
        <f>194+28</f>
        <v>222</v>
      </c>
      <c r="F186" s="691">
        <f>194-15</f>
        <v>179</v>
      </c>
      <c r="G186" s="448">
        <f>235+1</f>
        <v>236</v>
      </c>
      <c r="H186" s="448">
        <f>235+1</f>
        <v>236</v>
      </c>
      <c r="I186" s="448">
        <f>235+1</f>
        <v>236</v>
      </c>
      <c r="J186" s="387">
        <f>SUM(K186:M186)</f>
        <v>82491.149999999994</v>
      </c>
      <c r="K186" s="387">
        <f>43367.14+2750.57</f>
        <v>46117.71</v>
      </c>
      <c r="L186" s="387">
        <v>13179.37</v>
      </c>
      <c r="M186" s="485">
        <v>23194.07</v>
      </c>
      <c r="N186" s="432">
        <f>SUM(O186:R186)</f>
        <v>19467911.399999999</v>
      </c>
      <c r="O186" s="432">
        <f>G186*K186</f>
        <v>10883779.560000001</v>
      </c>
      <c r="P186" s="650">
        <f>G186*L186</f>
        <v>3110331.3200000003</v>
      </c>
      <c r="Q186" s="432"/>
      <c r="R186" s="151">
        <f>G186*M186</f>
        <v>5473800.5199999996</v>
      </c>
      <c r="S186" s="150"/>
      <c r="T186" s="150">
        <f>W186</f>
        <v>19467911.399999999</v>
      </c>
      <c r="U186" s="150">
        <f>AB186</f>
        <v>19467911.399999999</v>
      </c>
      <c r="W186" s="454">
        <f>SUM(X186:AA186)</f>
        <v>19467911.399999999</v>
      </c>
      <c r="X186" s="398">
        <f>H186*K186</f>
        <v>10883779.560000001</v>
      </c>
      <c r="Y186" s="14">
        <f>H186*L186</f>
        <v>3110331.3200000003</v>
      </c>
      <c r="Z186" s="398">
        <f>H186*M186</f>
        <v>5473800.5199999996</v>
      </c>
      <c r="AB186" s="454">
        <f>SUM(AC186:AF186)</f>
        <v>19467911.399999999</v>
      </c>
      <c r="AC186" s="398">
        <f>I186*K186</f>
        <v>10883779.560000001</v>
      </c>
      <c r="AD186" s="14">
        <f>I186*L186</f>
        <v>3110331.3200000003</v>
      </c>
      <c r="AE186" s="398">
        <f>I186*M186</f>
        <v>5473800.5199999996</v>
      </c>
    </row>
    <row r="187" spans="1:31" ht="96.6" x14ac:dyDescent="0.25">
      <c r="A187" s="828"/>
      <c r="B187" s="834"/>
      <c r="C187" s="22" t="s">
        <v>63</v>
      </c>
      <c r="D187" s="19" t="s">
        <v>24</v>
      </c>
      <c r="E187" s="701">
        <f>182-29</f>
        <v>153</v>
      </c>
      <c r="F187" s="699">
        <f>182+16</f>
        <v>198</v>
      </c>
      <c r="G187" s="780">
        <v>141</v>
      </c>
      <c r="H187" s="780">
        <v>141</v>
      </c>
      <c r="I187" s="780">
        <v>141</v>
      </c>
      <c r="J187" s="387">
        <f>SUM(K187:M187)</f>
        <v>86255.16</v>
      </c>
      <c r="K187" s="387">
        <f>47131.15+2750.57</f>
        <v>49881.72</v>
      </c>
      <c r="L187" s="387">
        <v>13179.37</v>
      </c>
      <c r="M187" s="485">
        <v>23194.07</v>
      </c>
      <c r="N187" s="432">
        <f>SUM(O187:R187)</f>
        <v>12161977.560000002</v>
      </c>
      <c r="O187" s="432">
        <f>G187*K187</f>
        <v>7033322.5200000005</v>
      </c>
      <c r="P187" s="650">
        <f>G187*L187</f>
        <v>1858291.1700000002</v>
      </c>
      <c r="Q187" s="432"/>
      <c r="R187" s="151">
        <f>G187*M187</f>
        <v>3270363.87</v>
      </c>
      <c r="S187" s="150"/>
      <c r="T187" s="150">
        <f>W187</f>
        <v>12161977.560000002</v>
      </c>
      <c r="U187" s="150">
        <f>AB187</f>
        <v>12161977.560000002</v>
      </c>
      <c r="W187" s="454">
        <f>SUM(X187:AA187)</f>
        <v>12161977.560000002</v>
      </c>
      <c r="X187" s="398">
        <f>H187*K187</f>
        <v>7033322.5200000005</v>
      </c>
      <c r="Y187" s="14">
        <f>H187*L187</f>
        <v>1858291.1700000002</v>
      </c>
      <c r="Z187" s="398">
        <f>H187*M187</f>
        <v>3270363.87</v>
      </c>
      <c r="AB187" s="454">
        <f>SUM(AC187:AF187)</f>
        <v>12161977.560000002</v>
      </c>
      <c r="AC187" s="398">
        <f>I187*K187</f>
        <v>7033322.5200000005</v>
      </c>
      <c r="AD187" s="14">
        <f>I187*L187</f>
        <v>1858291.1700000002</v>
      </c>
      <c r="AE187" s="398">
        <f>I187*M187</f>
        <v>3270363.87</v>
      </c>
    </row>
    <row r="188" spans="1:31" ht="82.8" x14ac:dyDescent="0.25">
      <c r="A188" s="828"/>
      <c r="B188" s="834"/>
      <c r="C188" s="408" t="s">
        <v>39</v>
      </c>
      <c r="D188" s="19" t="s">
        <v>24</v>
      </c>
      <c r="E188" s="10" t="s">
        <v>26</v>
      </c>
      <c r="F188" s="10" t="s">
        <v>26</v>
      </c>
      <c r="G188" s="11" t="s">
        <v>26</v>
      </c>
      <c r="H188" s="418" t="s">
        <v>26</v>
      </c>
      <c r="I188" s="418" t="s">
        <v>26</v>
      </c>
      <c r="J188" s="429" t="s">
        <v>26</v>
      </c>
      <c r="K188" s="429" t="s">
        <v>26</v>
      </c>
      <c r="L188" s="429" t="s">
        <v>26</v>
      </c>
      <c r="M188" s="418" t="s">
        <v>26</v>
      </c>
      <c r="N188" s="430"/>
      <c r="O188" s="430"/>
      <c r="P188" s="429" t="s">
        <v>26</v>
      </c>
      <c r="Q188" s="429"/>
      <c r="R188" s="418" t="s">
        <v>26</v>
      </c>
      <c r="S188" s="10"/>
      <c r="T188" s="150"/>
      <c r="U188" s="150"/>
      <c r="AB188" s="25"/>
    </row>
    <row r="189" spans="1:31" x14ac:dyDescent="0.25">
      <c r="A189" s="828"/>
      <c r="B189" s="834"/>
      <c r="C189" s="388" t="s">
        <v>57</v>
      </c>
      <c r="D189" s="19" t="s">
        <v>24</v>
      </c>
      <c r="E189" s="414"/>
      <c r="F189" s="414"/>
      <c r="G189" s="11"/>
      <c r="H189" s="447"/>
      <c r="I189" s="447"/>
      <c r="J189" s="151">
        <f>K189</f>
        <v>82926.070000000007</v>
      </c>
      <c r="K189" s="151">
        <v>82926.070000000007</v>
      </c>
      <c r="L189" s="429" t="s">
        <v>26</v>
      </c>
      <c r="M189" s="418" t="s">
        <v>26</v>
      </c>
      <c r="N189" s="430">
        <f>O189</f>
        <v>0</v>
      </c>
      <c r="O189" s="430">
        <f>G189*K189</f>
        <v>0</v>
      </c>
      <c r="P189" s="429" t="s">
        <v>26</v>
      </c>
      <c r="Q189" s="429"/>
      <c r="R189" s="418" t="s">
        <v>26</v>
      </c>
      <c r="S189" s="10"/>
      <c r="T189" s="150">
        <f>H189*K189</f>
        <v>0</v>
      </c>
      <c r="U189" s="150">
        <f>I189*K189</f>
        <v>0</v>
      </c>
      <c r="AB189" s="25"/>
    </row>
    <row r="190" spans="1:31" x14ac:dyDescent="0.25">
      <c r="A190" s="828"/>
      <c r="B190" s="834"/>
      <c r="C190" s="388" t="s">
        <v>27</v>
      </c>
      <c r="D190" s="19" t="s">
        <v>24</v>
      </c>
      <c r="E190" s="613">
        <v>0</v>
      </c>
      <c r="F190" s="613">
        <f>1-1</f>
        <v>0</v>
      </c>
      <c r="G190" s="11">
        <f t="shared" si="70"/>
        <v>0</v>
      </c>
      <c r="H190" s="613">
        <f>1-1</f>
        <v>0</v>
      </c>
      <c r="I190" s="613">
        <f>1-1</f>
        <v>0</v>
      </c>
      <c r="J190" s="151">
        <f>K190</f>
        <v>57318.77</v>
      </c>
      <c r="K190" s="151">
        <v>57318.77</v>
      </c>
      <c r="L190" s="429" t="s">
        <v>26</v>
      </c>
      <c r="M190" s="418" t="s">
        <v>26</v>
      </c>
      <c r="N190" s="430">
        <f>O190</f>
        <v>0</v>
      </c>
      <c r="O190" s="430">
        <f t="shared" ref="O190:O192" si="72">G190*K190</f>
        <v>0</v>
      </c>
      <c r="P190" s="429" t="s">
        <v>26</v>
      </c>
      <c r="Q190" s="429"/>
      <c r="R190" s="418" t="s">
        <v>26</v>
      </c>
      <c r="S190" s="10"/>
      <c r="T190" s="150">
        <f>H190*K190</f>
        <v>0</v>
      </c>
      <c r="U190" s="150">
        <f>I190*K190</f>
        <v>0</v>
      </c>
      <c r="AB190" s="25"/>
    </row>
    <row r="191" spans="1:31" x14ac:dyDescent="0.25">
      <c r="A191" s="828"/>
      <c r="B191" s="834"/>
      <c r="C191" s="388" t="s">
        <v>31</v>
      </c>
      <c r="D191" s="19" t="s">
        <v>24</v>
      </c>
      <c r="E191" s="613">
        <v>1</v>
      </c>
      <c r="F191" s="695">
        <v>1</v>
      </c>
      <c r="G191" s="448">
        <v>1</v>
      </c>
      <c r="H191" s="446">
        <v>1</v>
      </c>
      <c r="I191" s="446">
        <v>1</v>
      </c>
      <c r="J191" s="151">
        <f>K191</f>
        <v>279371.78999999998</v>
      </c>
      <c r="K191" s="151">
        <v>279371.78999999998</v>
      </c>
      <c r="L191" s="429" t="s">
        <v>26</v>
      </c>
      <c r="M191" s="418" t="s">
        <v>26</v>
      </c>
      <c r="N191" s="430">
        <f>O191</f>
        <v>279371.78999999998</v>
      </c>
      <c r="O191" s="430">
        <f t="shared" si="72"/>
        <v>279371.78999999998</v>
      </c>
      <c r="P191" s="429" t="s">
        <v>26</v>
      </c>
      <c r="Q191" s="429"/>
      <c r="R191" s="418" t="s">
        <v>26</v>
      </c>
      <c r="S191" s="10"/>
      <c r="T191" s="150">
        <f>H191*K191</f>
        <v>279371.78999999998</v>
      </c>
      <c r="U191" s="150">
        <f>I191*K191</f>
        <v>279371.78999999998</v>
      </c>
    </row>
    <row r="192" spans="1:31" x14ac:dyDescent="0.25">
      <c r="A192" s="828"/>
      <c r="B192" s="834"/>
      <c r="C192" s="569" t="s">
        <v>34</v>
      </c>
      <c r="D192" s="19" t="s">
        <v>24</v>
      </c>
      <c r="E192" s="613">
        <v>1</v>
      </c>
      <c r="F192" s="695">
        <v>1</v>
      </c>
      <c r="G192" s="448">
        <v>1</v>
      </c>
      <c r="H192" s="446">
        <v>1</v>
      </c>
      <c r="I192" s="446">
        <v>1</v>
      </c>
      <c r="J192" s="151">
        <f>K192</f>
        <v>19898.91</v>
      </c>
      <c r="K192" s="151">
        <v>19898.91</v>
      </c>
      <c r="L192" s="429" t="s">
        <v>26</v>
      </c>
      <c r="M192" s="418" t="s">
        <v>26</v>
      </c>
      <c r="N192" s="430">
        <f>O192</f>
        <v>19898.91</v>
      </c>
      <c r="O192" s="430">
        <f t="shared" si="72"/>
        <v>19898.91</v>
      </c>
      <c r="P192" s="429" t="s">
        <v>26</v>
      </c>
      <c r="Q192" s="429"/>
      <c r="R192" s="418" t="s">
        <v>26</v>
      </c>
      <c r="S192" s="10"/>
      <c r="T192" s="150">
        <f>H192*K192</f>
        <v>19898.91</v>
      </c>
      <c r="U192" s="150">
        <f>I192*K192</f>
        <v>19898.91</v>
      </c>
      <c r="AB192" s="25"/>
    </row>
    <row r="193" spans="1:31" ht="82.95" customHeight="1" x14ac:dyDescent="0.25">
      <c r="A193" s="828"/>
      <c r="B193" s="834"/>
      <c r="C193" s="408" t="s">
        <v>35</v>
      </c>
      <c r="D193" s="19" t="s">
        <v>24</v>
      </c>
      <c r="E193" s="613">
        <v>1</v>
      </c>
      <c r="F193" s="695">
        <v>1</v>
      </c>
      <c r="G193" s="448">
        <v>0</v>
      </c>
      <c r="H193" s="424">
        <v>0</v>
      </c>
      <c r="I193" s="424">
        <v>0</v>
      </c>
      <c r="J193" s="151">
        <f>SUM(K193:M193)</f>
        <v>353751.43</v>
      </c>
      <c r="K193" s="151">
        <f>314627.42+2750.57</f>
        <v>317377.99</v>
      </c>
      <c r="L193" s="387">
        <v>13179.37</v>
      </c>
      <c r="M193" s="485">
        <v>23194.07</v>
      </c>
      <c r="N193" s="398">
        <f>SUM(O193:R193)</f>
        <v>0</v>
      </c>
      <c r="O193" s="430">
        <f>G193*K193</f>
        <v>0</v>
      </c>
      <c r="P193" s="650">
        <f>G193*L193</f>
        <v>0</v>
      </c>
      <c r="Q193" s="398"/>
      <c r="R193" s="151">
        <f>G193*M193</f>
        <v>0</v>
      </c>
      <c r="S193" s="399"/>
      <c r="T193" s="150">
        <f>N193</f>
        <v>0</v>
      </c>
      <c r="U193" s="150">
        <f>T193</f>
        <v>0</v>
      </c>
    </row>
    <row r="194" spans="1:31" ht="82.95" customHeight="1" x14ac:dyDescent="0.25">
      <c r="A194" s="828"/>
      <c r="B194" s="834"/>
      <c r="C194" s="408" t="s">
        <v>62</v>
      </c>
      <c r="D194" s="19" t="s">
        <v>24</v>
      </c>
      <c r="E194" s="613">
        <v>0</v>
      </c>
      <c r="F194" s="613">
        <v>0</v>
      </c>
      <c r="G194" s="11">
        <v>0</v>
      </c>
      <c r="H194" s="447">
        <v>0</v>
      </c>
      <c r="I194" s="447">
        <v>0</v>
      </c>
      <c r="J194" s="151">
        <f>K194</f>
        <v>47469.15</v>
      </c>
      <c r="K194" s="151">
        <v>47469.15</v>
      </c>
      <c r="L194" s="151" t="s">
        <v>26</v>
      </c>
      <c r="M194" s="151" t="s">
        <v>26</v>
      </c>
      <c r="N194" s="398">
        <f>SUM(O194:R194)</f>
        <v>0</v>
      </c>
      <c r="O194" s="430">
        <f>G194*K194</f>
        <v>0</v>
      </c>
      <c r="P194" s="398"/>
      <c r="Q194" s="398"/>
      <c r="R194" s="151"/>
      <c r="S194" s="399"/>
      <c r="T194" s="150">
        <f>H194*J194</f>
        <v>0</v>
      </c>
      <c r="U194" s="150">
        <f>I194*J194</f>
        <v>0</v>
      </c>
    </row>
    <row r="195" spans="1:31" ht="13.95" customHeight="1" x14ac:dyDescent="0.25">
      <c r="A195" s="828"/>
      <c r="B195" s="834"/>
      <c r="C195" s="419" t="s">
        <v>58</v>
      </c>
      <c r="D195" s="19" t="s">
        <v>59</v>
      </c>
      <c r="E195" s="613">
        <v>15</v>
      </c>
      <c r="F195" s="613">
        <v>15</v>
      </c>
      <c r="G195" s="11">
        <f t="shared" si="70"/>
        <v>15</v>
      </c>
      <c r="H195" s="447">
        <v>15</v>
      </c>
      <c r="I195" s="447">
        <v>15</v>
      </c>
      <c r="J195" s="151">
        <f>K195</f>
        <v>234360</v>
      </c>
      <c r="K195" s="151">
        <f>10000*1.5*1.302*12</f>
        <v>234360</v>
      </c>
      <c r="L195" s="151"/>
      <c r="M195" s="151"/>
      <c r="N195" s="454">
        <f>SUM(O195:R195)</f>
        <v>3515400</v>
      </c>
      <c r="O195" s="14">
        <f>G195*K195</f>
        <v>3515400</v>
      </c>
      <c r="P195" s="398"/>
      <c r="Q195" s="398"/>
      <c r="R195" s="151"/>
      <c r="S195" s="399"/>
      <c r="T195" s="150">
        <f>H195*K195-3515400</f>
        <v>0</v>
      </c>
      <c r="U195" s="150">
        <f>I195*K195-3515400</f>
        <v>0</v>
      </c>
    </row>
    <row r="196" spans="1:31" ht="31.95" customHeight="1" x14ac:dyDescent="0.25">
      <c r="A196" s="828"/>
      <c r="B196" s="835"/>
      <c r="C196" s="423" t="s">
        <v>38</v>
      </c>
      <c r="D196" s="19"/>
      <c r="E196" s="623">
        <f>E186++E187+E193</f>
        <v>376</v>
      </c>
      <c r="F196" s="700">
        <f>F186++F187+F193</f>
        <v>378</v>
      </c>
      <c r="G196" s="782">
        <f>G186++G187+G193</f>
        <v>377</v>
      </c>
      <c r="H196" s="782">
        <f>H186++H187+H193</f>
        <v>377</v>
      </c>
      <c r="I196" s="782">
        <f>I186++I187+I193</f>
        <v>377</v>
      </c>
      <c r="J196" s="398" t="s">
        <v>26</v>
      </c>
      <c r="K196" s="398" t="s">
        <v>26</v>
      </c>
      <c r="L196" s="398" t="s">
        <v>26</v>
      </c>
      <c r="M196" s="151" t="s">
        <v>26</v>
      </c>
      <c r="N196" s="154">
        <f>SUM(N186:N195)</f>
        <v>35444559.659999996</v>
      </c>
      <c r="O196" s="154">
        <f t="shared" ref="O196:U196" si="73">SUM(O186:O195)</f>
        <v>21731772.780000001</v>
      </c>
      <c r="P196" s="154">
        <f t="shared" si="73"/>
        <v>4968622.49</v>
      </c>
      <c r="Q196" s="154">
        <f t="shared" si="73"/>
        <v>0</v>
      </c>
      <c r="R196" s="653">
        <f t="shared" si="73"/>
        <v>8744164.3900000006</v>
      </c>
      <c r="S196" s="154">
        <f t="shared" si="73"/>
        <v>0</v>
      </c>
      <c r="T196" s="154">
        <f t="shared" si="73"/>
        <v>31929159.66</v>
      </c>
      <c r="U196" s="154">
        <f t="shared" si="73"/>
        <v>31929159.66</v>
      </c>
      <c r="AA196" s="25"/>
    </row>
    <row r="197" spans="1:31" ht="73.2" customHeight="1" x14ac:dyDescent="0.25">
      <c r="A197" s="828"/>
      <c r="B197" s="833" t="s">
        <v>318</v>
      </c>
      <c r="C197" s="22" t="s">
        <v>23</v>
      </c>
      <c r="D197" s="19" t="s">
        <v>24</v>
      </c>
      <c r="E197" s="447">
        <f>44</f>
        <v>44</v>
      </c>
      <c r="F197" s="703">
        <f>44+12</f>
        <v>56</v>
      </c>
      <c r="G197" s="766">
        <f>56+10</f>
        <v>66</v>
      </c>
      <c r="H197" s="766">
        <f>56+10</f>
        <v>66</v>
      </c>
      <c r="I197" s="766">
        <f>56+10</f>
        <v>66</v>
      </c>
      <c r="J197" s="387">
        <f>SUM(K197:M197)</f>
        <v>89869.28</v>
      </c>
      <c r="K197" s="387">
        <f>50769.44+2726.4</f>
        <v>53495.840000000004</v>
      </c>
      <c r="L197" s="387">
        <v>13179.37</v>
      </c>
      <c r="M197" s="485">
        <v>23194.07</v>
      </c>
      <c r="N197" s="398">
        <f>SUM(O197:R197)</f>
        <v>5931372.4800000004</v>
      </c>
      <c r="O197" s="398">
        <f>G197*K197</f>
        <v>3530725.4400000004</v>
      </c>
      <c r="P197" s="650">
        <f>G197*L197</f>
        <v>869838.42</v>
      </c>
      <c r="Q197" s="398"/>
      <c r="R197" s="151">
        <f>G197*M197</f>
        <v>1530808.6199999999</v>
      </c>
      <c r="S197" s="150"/>
      <c r="T197" s="150">
        <f>W197</f>
        <v>5931372.4800000004</v>
      </c>
      <c r="U197" s="150">
        <f>AB197</f>
        <v>5931372.4800000004</v>
      </c>
      <c r="W197" s="454">
        <f>SUM(X197:AA197)</f>
        <v>5931372.4800000004</v>
      </c>
      <c r="X197" s="398">
        <f>H197*K197</f>
        <v>3530725.4400000004</v>
      </c>
      <c r="Y197" s="14">
        <f>H197*L197</f>
        <v>869838.42</v>
      </c>
      <c r="Z197" s="398">
        <f>H197*M197</f>
        <v>1530808.6199999999</v>
      </c>
      <c r="AB197" s="454">
        <f>SUM(AC197:AF197)</f>
        <v>5931372.4800000004</v>
      </c>
      <c r="AC197" s="398">
        <f>I197*K197</f>
        <v>3530725.4400000004</v>
      </c>
      <c r="AD197" s="14">
        <f>I197*L197</f>
        <v>869838.42</v>
      </c>
      <c r="AE197" s="398">
        <f>I197*M197</f>
        <v>1530808.6199999999</v>
      </c>
    </row>
    <row r="198" spans="1:31" ht="96.6" x14ac:dyDescent="0.25">
      <c r="A198" s="828"/>
      <c r="B198" s="834"/>
      <c r="C198" s="611" t="s">
        <v>443</v>
      </c>
      <c r="D198" s="19" t="s">
        <v>24</v>
      </c>
      <c r="E198" s="613">
        <f>50</f>
        <v>50</v>
      </c>
      <c r="F198" s="695">
        <f>50-25</f>
        <v>25</v>
      </c>
      <c r="G198" s="448">
        <f>42-17</f>
        <v>25</v>
      </c>
      <c r="H198" s="424">
        <v>25</v>
      </c>
      <c r="I198" s="424">
        <v>25</v>
      </c>
      <c r="J198" s="387">
        <f>SUM(K198:M198)</f>
        <v>147657.78999999998</v>
      </c>
      <c r="K198" s="429">
        <f>108557.95+2726.4</f>
        <v>111284.34999999999</v>
      </c>
      <c r="L198" s="387">
        <v>13179.37</v>
      </c>
      <c r="M198" s="485">
        <v>23194.07</v>
      </c>
      <c r="N198" s="398">
        <f>SUM(O198:R198)</f>
        <v>3691444.75</v>
      </c>
      <c r="O198" s="398">
        <f>G198*K198</f>
        <v>2782108.75</v>
      </c>
      <c r="P198" s="650">
        <f>G198*L198</f>
        <v>329484.25</v>
      </c>
      <c r="Q198" s="398"/>
      <c r="R198" s="151">
        <f>G198*M198</f>
        <v>579851.75</v>
      </c>
      <c r="S198" s="150"/>
      <c r="T198" s="150">
        <f>W198</f>
        <v>3691444.75</v>
      </c>
      <c r="U198" s="150">
        <f>AB198</f>
        <v>3691444.75</v>
      </c>
      <c r="W198" s="454">
        <f>SUM(X198:AA198)</f>
        <v>3691444.75</v>
      </c>
      <c r="X198" s="398">
        <f>H198*K198</f>
        <v>2782108.75</v>
      </c>
      <c r="Y198" s="14">
        <f>H198*L198</f>
        <v>329484.25</v>
      </c>
      <c r="Z198" s="398">
        <f>H198*M198</f>
        <v>579851.75</v>
      </c>
      <c r="AB198" s="454">
        <f>SUM(AC198:AF198)</f>
        <v>3691444.75</v>
      </c>
      <c r="AC198" s="398">
        <f>I198*K198</f>
        <v>2782108.75</v>
      </c>
      <c r="AD198" s="14">
        <f>I198*L198</f>
        <v>329484.25</v>
      </c>
      <c r="AE198" s="398">
        <f>I198*M198</f>
        <v>579851.75</v>
      </c>
    </row>
    <row r="199" spans="1:31" ht="82.8" x14ac:dyDescent="0.25">
      <c r="A199" s="828"/>
      <c r="B199" s="834"/>
      <c r="C199" s="408" t="s">
        <v>39</v>
      </c>
      <c r="D199" s="19" t="s">
        <v>24</v>
      </c>
      <c r="E199" s="11" t="s">
        <v>26</v>
      </c>
      <c r="F199" s="11" t="s">
        <v>26</v>
      </c>
      <c r="G199" s="11" t="s">
        <v>26</v>
      </c>
      <c r="H199" s="418" t="s">
        <v>26</v>
      </c>
      <c r="I199" s="418" t="s">
        <v>26</v>
      </c>
      <c r="J199" s="429" t="s">
        <v>26</v>
      </c>
      <c r="K199" s="429" t="s">
        <v>26</v>
      </c>
      <c r="L199" s="429" t="s">
        <v>26</v>
      </c>
      <c r="M199" s="418" t="s">
        <v>26</v>
      </c>
      <c r="N199" s="430"/>
      <c r="O199" s="430"/>
      <c r="P199" s="429" t="s">
        <v>26</v>
      </c>
      <c r="Q199" s="429"/>
      <c r="R199" s="418" t="s">
        <v>26</v>
      </c>
      <c r="S199" s="10"/>
      <c r="T199" s="150"/>
      <c r="U199" s="150"/>
    </row>
    <row r="200" spans="1:31" x14ac:dyDescent="0.25">
      <c r="A200" s="828"/>
      <c r="B200" s="834"/>
      <c r="C200" s="435" t="s">
        <v>27</v>
      </c>
      <c r="D200" s="19" t="s">
        <v>24</v>
      </c>
      <c r="E200" s="11">
        <v>1</v>
      </c>
      <c r="F200" s="694">
        <v>1</v>
      </c>
      <c r="G200" s="11">
        <f>((E200*8)+(F200*4))/12-1</f>
        <v>0</v>
      </c>
      <c r="H200" s="418">
        <v>0</v>
      </c>
      <c r="I200" s="418">
        <v>0</v>
      </c>
      <c r="J200" s="649">
        <f>K200</f>
        <v>59239.46</v>
      </c>
      <c r="K200" s="650">
        <v>59239.46</v>
      </c>
      <c r="L200" s="649"/>
      <c r="M200" s="418"/>
      <c r="N200" s="650">
        <f>O200</f>
        <v>0</v>
      </c>
      <c r="O200" s="650">
        <f>G200*K200</f>
        <v>0</v>
      </c>
      <c r="P200" s="649"/>
      <c r="Q200" s="649"/>
      <c r="R200" s="418"/>
      <c r="S200" s="10"/>
      <c r="T200" s="150">
        <f>H200*K200</f>
        <v>0</v>
      </c>
      <c r="U200" s="150">
        <f>I200*K200</f>
        <v>0</v>
      </c>
    </row>
    <row r="201" spans="1:31" ht="24" customHeight="1" x14ac:dyDescent="0.25">
      <c r="A201" s="828"/>
      <c r="B201" s="834"/>
      <c r="C201" s="435" t="s">
        <v>29</v>
      </c>
      <c r="D201" s="19" t="s">
        <v>24</v>
      </c>
      <c r="E201" s="613">
        <v>1</v>
      </c>
      <c r="F201" s="695">
        <f>1-1</f>
        <v>0</v>
      </c>
      <c r="G201" s="11">
        <v>0</v>
      </c>
      <c r="H201" s="447">
        <f>1-1</f>
        <v>0</v>
      </c>
      <c r="I201" s="447">
        <f>1-1</f>
        <v>0</v>
      </c>
      <c r="J201" s="151">
        <f>K201</f>
        <v>116417.19</v>
      </c>
      <c r="K201" s="151">
        <v>116417.19</v>
      </c>
      <c r="L201" s="429" t="s">
        <v>26</v>
      </c>
      <c r="M201" s="418" t="s">
        <v>26</v>
      </c>
      <c r="N201" s="430">
        <f>O201</f>
        <v>0</v>
      </c>
      <c r="O201" s="430">
        <f>G201*K201</f>
        <v>0</v>
      </c>
      <c r="P201" s="429" t="s">
        <v>26</v>
      </c>
      <c r="Q201" s="429"/>
      <c r="R201" s="418" t="s">
        <v>26</v>
      </c>
      <c r="S201" s="10"/>
      <c r="T201" s="150">
        <f>H201*K201</f>
        <v>0</v>
      </c>
      <c r="U201" s="150">
        <f>I201*K201</f>
        <v>0</v>
      </c>
      <c r="AB201" s="25"/>
    </row>
    <row r="202" spans="1:31" ht="82.95" customHeight="1" x14ac:dyDescent="0.25">
      <c r="A202" s="828"/>
      <c r="B202" s="834"/>
      <c r="C202" s="22" t="s">
        <v>35</v>
      </c>
      <c r="D202" s="19" t="s">
        <v>24</v>
      </c>
      <c r="E202" s="447">
        <v>2</v>
      </c>
      <c r="F202" s="712">
        <f>2-1</f>
        <v>1</v>
      </c>
      <c r="G202" s="766">
        <f>2-1</f>
        <v>1</v>
      </c>
      <c r="H202" s="424">
        <f>2-1</f>
        <v>1</v>
      </c>
      <c r="I202" s="424">
        <f>2-1</f>
        <v>1</v>
      </c>
      <c r="J202" s="387">
        <f>SUM(K202:M202)</f>
        <v>388339.09</v>
      </c>
      <c r="K202" s="151">
        <f>349239.25+2726.4</f>
        <v>351965.65</v>
      </c>
      <c r="L202" s="387">
        <v>13179.37</v>
      </c>
      <c r="M202" s="485">
        <v>23194.07</v>
      </c>
      <c r="N202" s="398">
        <f>SUM(O202:R202)</f>
        <v>388339.09</v>
      </c>
      <c r="O202" s="398">
        <f>G202*K202</f>
        <v>351965.65</v>
      </c>
      <c r="P202" s="650">
        <f>G202*L202</f>
        <v>13179.37</v>
      </c>
      <c r="Q202" s="398"/>
      <c r="R202" s="151">
        <f>G202*M202</f>
        <v>23194.07</v>
      </c>
      <c r="S202" s="399"/>
      <c r="T202" s="150">
        <f>H202*J202</f>
        <v>388339.09</v>
      </c>
      <c r="U202" s="150">
        <f>I202*J202</f>
        <v>388339.09</v>
      </c>
      <c r="AB202" s="25"/>
      <c r="AC202" s="25"/>
    </row>
    <row r="203" spans="1:31" ht="19.2" customHeight="1" x14ac:dyDescent="0.25">
      <c r="A203" s="828"/>
      <c r="B203" s="834"/>
      <c r="C203" s="422" t="s">
        <v>58</v>
      </c>
      <c r="D203" s="19" t="s">
        <v>59</v>
      </c>
      <c r="E203" s="613">
        <v>4</v>
      </c>
      <c r="F203" s="613">
        <v>4</v>
      </c>
      <c r="G203" s="11">
        <v>4</v>
      </c>
      <c r="H203" s="447">
        <v>4</v>
      </c>
      <c r="I203" s="447">
        <v>4</v>
      </c>
      <c r="J203" s="151">
        <f>SUM(K203:M203)</f>
        <v>234360</v>
      </c>
      <c r="K203" s="151">
        <f>10000*1.5*1.302*12</f>
        <v>234360</v>
      </c>
      <c r="L203" s="387"/>
      <c r="M203" s="14"/>
      <c r="N203" s="454">
        <f>SUM(O203:R203)</f>
        <v>937440</v>
      </c>
      <c r="O203" s="454">
        <f>G203*K203</f>
        <v>937440</v>
      </c>
      <c r="P203" s="430"/>
      <c r="Q203" s="398"/>
      <c r="R203" s="151"/>
      <c r="S203" s="399"/>
      <c r="T203" s="341">
        <f>H203*K203-937440</f>
        <v>0</v>
      </c>
      <c r="U203" s="341">
        <f>I203*K203-937440</f>
        <v>0</v>
      </c>
      <c r="AB203" s="25"/>
      <c r="AC203" s="25"/>
    </row>
    <row r="204" spans="1:31" ht="26.4" customHeight="1" x14ac:dyDescent="0.25">
      <c r="A204" s="828"/>
      <c r="B204" s="835"/>
      <c r="C204" s="423" t="s">
        <v>38</v>
      </c>
      <c r="D204" s="19"/>
      <c r="E204" s="614">
        <f>E197+E202+E198</f>
        <v>96</v>
      </c>
      <c r="F204" s="704">
        <f>F197+F202+F198</f>
        <v>82</v>
      </c>
      <c r="G204" s="697">
        <f>G197+G202+G198</f>
        <v>92</v>
      </c>
      <c r="H204" s="770">
        <f>H197+H202+H198</f>
        <v>92</v>
      </c>
      <c r="I204" s="770">
        <f>I197+I202+I198</f>
        <v>92</v>
      </c>
      <c r="J204" s="398" t="s">
        <v>26</v>
      </c>
      <c r="K204" s="398" t="s">
        <v>26</v>
      </c>
      <c r="L204" s="398" t="s">
        <v>26</v>
      </c>
      <c r="M204" s="151" t="s">
        <v>26</v>
      </c>
      <c r="N204" s="154">
        <f>SUM(N197:N203)</f>
        <v>10948596.32</v>
      </c>
      <c r="O204" s="154">
        <f t="shared" ref="O204:U204" si="74">SUM(O197:O203)</f>
        <v>7602239.8400000008</v>
      </c>
      <c r="P204" s="154">
        <f t="shared" si="74"/>
        <v>1212502.04</v>
      </c>
      <c r="Q204" s="154">
        <f t="shared" si="74"/>
        <v>0</v>
      </c>
      <c r="R204" s="653">
        <f t="shared" si="74"/>
        <v>2133854.44</v>
      </c>
      <c r="S204" s="154">
        <f t="shared" si="74"/>
        <v>0</v>
      </c>
      <c r="T204" s="154">
        <f t="shared" si="74"/>
        <v>10011156.32</v>
      </c>
      <c r="U204" s="154">
        <f t="shared" si="74"/>
        <v>10011156.32</v>
      </c>
      <c r="V204" s="25"/>
      <c r="W204" s="25"/>
      <c r="X204" s="25"/>
      <c r="AA204" s="25"/>
      <c r="AB204" s="25"/>
    </row>
    <row r="205" spans="1:31" ht="58.95" customHeight="1" x14ac:dyDescent="0.25">
      <c r="A205" s="828"/>
      <c r="B205" s="817" t="s">
        <v>115</v>
      </c>
      <c r="C205" s="815" t="s">
        <v>64</v>
      </c>
      <c r="D205" s="19" t="s">
        <v>24</v>
      </c>
      <c r="E205" s="705">
        <f>2309-109+106</f>
        <v>2306</v>
      </c>
      <c r="F205" s="703">
        <f>2309-109</f>
        <v>2200</v>
      </c>
      <c r="G205" s="707">
        <v>2271</v>
      </c>
      <c r="H205" s="705">
        <f>2309-109+71</f>
        <v>2271</v>
      </c>
      <c r="I205" s="705">
        <f>2309-109+71</f>
        <v>2271</v>
      </c>
      <c r="J205" s="151">
        <f>K205</f>
        <v>4592.9799999999996</v>
      </c>
      <c r="K205" s="151">
        <v>4592.9799999999996</v>
      </c>
      <c r="L205" s="151" t="s">
        <v>26</v>
      </c>
      <c r="M205" s="151" t="s">
        <v>26</v>
      </c>
      <c r="N205" s="398">
        <f>SUM(O205:R205)</f>
        <v>10430657.579999998</v>
      </c>
      <c r="O205" s="398">
        <f>G205*K205</f>
        <v>10430657.579999998</v>
      </c>
      <c r="P205" s="398">
        <v>0</v>
      </c>
      <c r="Q205" s="398"/>
      <c r="R205" s="151">
        <v>0</v>
      </c>
      <c r="S205" s="399"/>
      <c r="T205" s="150">
        <f>H205*J205</f>
        <v>10430657.579999998</v>
      </c>
      <c r="U205" s="150">
        <f>I205*J205</f>
        <v>10430657.579999998</v>
      </c>
      <c r="V205" s="438"/>
      <c r="W205" s="438"/>
      <c r="X205" s="25"/>
      <c r="Y205" s="30"/>
    </row>
    <row r="206" spans="1:31" ht="43.95" customHeight="1" x14ac:dyDescent="0.25">
      <c r="A206" s="828"/>
      <c r="B206" s="843"/>
      <c r="C206" s="816"/>
      <c r="D206" s="436" t="s">
        <v>235</v>
      </c>
      <c r="E206" s="624">
        <v>226446.8</v>
      </c>
      <c r="F206" s="720">
        <v>226446.8</v>
      </c>
      <c r="G206" s="783">
        <f>224200-4492</f>
        <v>219708</v>
      </c>
      <c r="H206" s="783">
        <f t="shared" ref="H206:I206" si="75">224200-4492</f>
        <v>219708</v>
      </c>
      <c r="I206" s="783">
        <f t="shared" si="75"/>
        <v>219708</v>
      </c>
      <c r="J206" s="397">
        <f>K206</f>
        <v>47.475092304331199</v>
      </c>
      <c r="K206" s="397">
        <f>N206/G206</f>
        <v>47.475092304331199</v>
      </c>
      <c r="L206" s="397" t="s">
        <v>26</v>
      </c>
      <c r="M206" s="397" t="s">
        <v>26</v>
      </c>
      <c r="N206" s="397">
        <f>N205</f>
        <v>10430657.579999998</v>
      </c>
      <c r="O206" s="396">
        <f>O205</f>
        <v>10430657.579999998</v>
      </c>
      <c r="P206" s="396" t="s">
        <v>26</v>
      </c>
      <c r="Q206" s="396"/>
      <c r="R206" s="397" t="s">
        <v>26</v>
      </c>
      <c r="S206" s="396"/>
      <c r="T206" s="397">
        <f>T205/G206*H206</f>
        <v>10430657.579999998</v>
      </c>
      <c r="U206" s="397">
        <f>U205/G206*I206</f>
        <v>10430657.579999998</v>
      </c>
      <c r="V206" s="438"/>
      <c r="W206" s="438"/>
      <c r="X206" s="25"/>
      <c r="Y206" s="30"/>
    </row>
    <row r="207" spans="1:31" ht="110.4" hidden="1" x14ac:dyDescent="0.25">
      <c r="A207" s="828"/>
      <c r="B207" s="818"/>
      <c r="C207" s="22" t="s">
        <v>65</v>
      </c>
      <c r="D207" s="19" t="s">
        <v>24</v>
      </c>
      <c r="E207" s="613">
        <v>495</v>
      </c>
      <c r="F207" s="613">
        <v>495</v>
      </c>
      <c r="G207" s="11">
        <v>495</v>
      </c>
      <c r="H207" s="418">
        <v>495</v>
      </c>
      <c r="I207" s="418">
        <v>495</v>
      </c>
      <c r="J207" s="398" t="s">
        <v>26</v>
      </c>
      <c r="K207" s="398" t="s">
        <v>26</v>
      </c>
      <c r="L207" s="398" t="s">
        <v>26</v>
      </c>
      <c r="M207" s="151">
        <v>0</v>
      </c>
      <c r="N207" s="398">
        <f>R207</f>
        <v>0</v>
      </c>
      <c r="O207" s="398">
        <v>0</v>
      </c>
      <c r="P207" s="398">
        <v>0</v>
      </c>
      <c r="Q207" s="398"/>
      <c r="R207" s="151">
        <f>G207*M207</f>
        <v>0</v>
      </c>
      <c r="S207" s="399"/>
      <c r="T207" s="150">
        <f>N207</f>
        <v>0</v>
      </c>
      <c r="U207" s="150">
        <f t="shared" ref="U207:U211" si="76">T207</f>
        <v>0</v>
      </c>
      <c r="V207" s="438"/>
      <c r="W207" s="438"/>
      <c r="Y207" s="25"/>
      <c r="Z207" s="1">
        <f>Y207/G216</f>
        <v>0</v>
      </c>
      <c r="AA207" s="1">
        <f>Z207*Y205</f>
        <v>0</v>
      </c>
    </row>
    <row r="208" spans="1:31" ht="13.95" customHeight="1" x14ac:dyDescent="0.25">
      <c r="A208" s="828"/>
      <c r="B208" s="393"/>
      <c r="C208" s="427" t="s">
        <v>38</v>
      </c>
      <c r="D208" s="412"/>
      <c r="E208" s="613">
        <f>SUM(E205:E205)</f>
        <v>2306</v>
      </c>
      <c r="F208" s="613">
        <f t="shared" ref="F208:G208" si="77">SUM(F205:F205)</f>
        <v>2200</v>
      </c>
      <c r="G208" s="613">
        <f t="shared" si="77"/>
        <v>2271</v>
      </c>
      <c r="H208" s="447">
        <f>SUM(H205:H205)</f>
        <v>2271</v>
      </c>
      <c r="I208" s="447">
        <f>SUM(I205:I205)</f>
        <v>2271</v>
      </c>
      <c r="J208" s="398" t="s">
        <v>26</v>
      </c>
      <c r="K208" s="398" t="s">
        <v>26</v>
      </c>
      <c r="L208" s="398" t="s">
        <v>26</v>
      </c>
      <c r="M208" s="151">
        <f>SUM(M205:M205)</f>
        <v>0</v>
      </c>
      <c r="N208" s="154">
        <f>N205+N207</f>
        <v>10430657.579999998</v>
      </c>
      <c r="O208" s="398">
        <f>O205+O207</f>
        <v>10430657.579999998</v>
      </c>
      <c r="P208" s="398">
        <f>P205+P207</f>
        <v>0</v>
      </c>
      <c r="Q208" s="398"/>
      <c r="R208" s="151">
        <f>R205+R207</f>
        <v>0</v>
      </c>
      <c r="S208" s="399"/>
      <c r="T208" s="399">
        <f>T205+T207</f>
        <v>10430657.579999998</v>
      </c>
      <c r="U208" s="150">
        <f>U205+U207</f>
        <v>10430657.579999998</v>
      </c>
      <c r="V208" s="438"/>
      <c r="W208" s="438"/>
      <c r="AA208" s="25">
        <f>AA207+R207</f>
        <v>0</v>
      </c>
    </row>
    <row r="209" spans="1:31" ht="31.2" customHeight="1" x14ac:dyDescent="0.25">
      <c r="A209" s="828"/>
      <c r="B209" s="159" t="s">
        <v>45</v>
      </c>
      <c r="C209" s="427" t="s">
        <v>44</v>
      </c>
      <c r="D209" s="413" t="s">
        <v>46</v>
      </c>
      <c r="E209" s="613">
        <v>4</v>
      </c>
      <c r="F209" s="613">
        <v>4</v>
      </c>
      <c r="G209" s="11">
        <v>4</v>
      </c>
      <c r="H209" s="447">
        <v>4</v>
      </c>
      <c r="I209" s="447">
        <v>4</v>
      </c>
      <c r="J209" s="398"/>
      <c r="K209" s="398"/>
      <c r="L209" s="398">
        <v>419011.08</v>
      </c>
      <c r="M209" s="151"/>
      <c r="N209" s="398">
        <f>P209</f>
        <v>1676044.32</v>
      </c>
      <c r="O209" s="398"/>
      <c r="P209" s="398">
        <f>G209*L209</f>
        <v>1676044.32</v>
      </c>
      <c r="Q209" s="398"/>
      <c r="R209" s="151"/>
      <c r="S209" s="399"/>
      <c r="T209" s="150">
        <f>H209*L209</f>
        <v>1676044.32</v>
      </c>
      <c r="U209" s="150">
        <f>I209*L209</f>
        <v>1676044.32</v>
      </c>
      <c r="V209" s="438"/>
      <c r="W209" s="438"/>
      <c r="AA209" s="25"/>
    </row>
    <row r="210" spans="1:31" ht="13.95" customHeight="1" x14ac:dyDescent="0.25">
      <c r="A210" s="828"/>
      <c r="B210" s="384" t="s">
        <v>66</v>
      </c>
      <c r="C210" s="427" t="s">
        <v>44</v>
      </c>
      <c r="D210" s="413" t="s">
        <v>46</v>
      </c>
      <c r="E210" s="613">
        <v>1</v>
      </c>
      <c r="F210" s="613">
        <v>1</v>
      </c>
      <c r="G210" s="11">
        <v>1</v>
      </c>
      <c r="H210" s="447">
        <v>1</v>
      </c>
      <c r="I210" s="447">
        <v>1</v>
      </c>
      <c r="J210" s="398"/>
      <c r="K210" s="398"/>
      <c r="L210" s="398">
        <v>2364838.88</v>
      </c>
      <c r="M210" s="151"/>
      <c r="N210" s="151">
        <f>P210</f>
        <v>2640875.6581999999</v>
      </c>
      <c r="O210" s="398"/>
      <c r="P210" s="151">
        <f>L210+44957.13*(783-476)/50</f>
        <v>2640875.6581999999</v>
      </c>
      <c r="Q210" s="398"/>
      <c r="R210" s="151"/>
      <c r="S210" s="399"/>
      <c r="T210" s="150">
        <f>H210*L210</f>
        <v>2364838.88</v>
      </c>
      <c r="U210" s="150">
        <f>I210*L210</f>
        <v>2364838.88</v>
      </c>
      <c r="V210" s="439"/>
      <c r="W210" s="439"/>
    </row>
    <row r="211" spans="1:31" ht="13.95" customHeight="1" x14ac:dyDescent="0.25">
      <c r="A211" s="828"/>
      <c r="B211" s="384" t="s">
        <v>67</v>
      </c>
      <c r="C211" s="28" t="s">
        <v>44</v>
      </c>
      <c r="D211" s="19"/>
      <c r="E211" s="613"/>
      <c r="F211" s="613"/>
      <c r="G211" s="613"/>
      <c r="H211" s="447"/>
      <c r="I211" s="447"/>
      <c r="J211" s="398"/>
      <c r="K211" s="398"/>
      <c r="L211" s="398"/>
      <c r="M211" s="151"/>
      <c r="N211" s="151">
        <f>P211</f>
        <v>0</v>
      </c>
      <c r="O211" s="398"/>
      <c r="P211" s="151">
        <f>L211*(807.27-476)/50</f>
        <v>0</v>
      </c>
      <c r="Q211" s="398"/>
      <c r="R211" s="151"/>
      <c r="S211" s="399"/>
      <c r="T211" s="150">
        <f>N211</f>
        <v>0</v>
      </c>
      <c r="U211" s="150">
        <f t="shared" si="76"/>
        <v>0</v>
      </c>
      <c r="V211" s="439"/>
      <c r="W211" s="439"/>
    </row>
    <row r="212" spans="1:31" hidden="1" x14ac:dyDescent="0.25">
      <c r="A212" s="828"/>
      <c r="B212" s="384" t="s">
        <v>55</v>
      </c>
      <c r="C212" s="384" t="s">
        <v>54</v>
      </c>
      <c r="D212" s="403"/>
      <c r="E212" s="6"/>
      <c r="F212" s="6"/>
      <c r="G212" s="6"/>
      <c r="H212" s="7"/>
      <c r="I212" s="7"/>
      <c r="J212" s="390"/>
      <c r="K212" s="390"/>
      <c r="L212" s="398">
        <v>39062.44</v>
      </c>
      <c r="M212" s="31"/>
      <c r="N212" s="390">
        <f>S212</f>
        <v>0</v>
      </c>
      <c r="O212" s="390"/>
      <c r="P212" s="401"/>
      <c r="Q212" s="390"/>
      <c r="R212" s="31"/>
      <c r="S212" s="392"/>
      <c r="T212" s="23"/>
      <c r="U212" s="23"/>
      <c r="V212" s="25"/>
      <c r="W212" s="25"/>
    </row>
    <row r="213" spans="1:31" ht="13.95" customHeight="1" x14ac:dyDescent="0.25">
      <c r="A213" s="828"/>
      <c r="B213" s="384" t="s">
        <v>47</v>
      </c>
      <c r="C213" s="384" t="s">
        <v>44</v>
      </c>
      <c r="D213" s="403"/>
      <c r="E213" s="6">
        <v>31</v>
      </c>
      <c r="F213" s="6">
        <v>31</v>
      </c>
      <c r="G213" s="6">
        <v>31</v>
      </c>
      <c r="H213" s="7">
        <v>31</v>
      </c>
      <c r="I213" s="7">
        <v>31</v>
      </c>
      <c r="J213" s="390"/>
      <c r="K213" s="390"/>
      <c r="L213" s="398">
        <v>0</v>
      </c>
      <c r="M213" s="31"/>
      <c r="N213" s="454">
        <f>SUM(O213:R213)</f>
        <v>7265160</v>
      </c>
      <c r="O213" s="31">
        <f>O203+O195+O184</f>
        <v>7265160</v>
      </c>
      <c r="P213" s="390"/>
      <c r="Q213" s="390"/>
      <c r="R213" s="31"/>
      <c r="S213" s="392"/>
      <c r="T213" s="23">
        <v>3632580</v>
      </c>
      <c r="U213" s="23">
        <f>T213</f>
        <v>3632580</v>
      </c>
      <c r="V213" s="25"/>
      <c r="W213" s="25"/>
    </row>
    <row r="214" spans="1:31" ht="13.95" hidden="1" customHeight="1" x14ac:dyDescent="0.25">
      <c r="A214" s="828"/>
      <c r="B214" s="384" t="s">
        <v>48</v>
      </c>
      <c r="C214" s="384" t="s">
        <v>44</v>
      </c>
      <c r="D214" s="403"/>
      <c r="E214" s="6"/>
      <c r="F214" s="6"/>
      <c r="G214" s="6"/>
      <c r="H214" s="7"/>
      <c r="I214" s="7"/>
      <c r="J214" s="390"/>
      <c r="K214" s="390"/>
      <c r="L214" s="390"/>
      <c r="M214" s="31"/>
      <c r="N214" s="390">
        <f>O214</f>
        <v>0</v>
      </c>
      <c r="O214" s="390"/>
      <c r="P214" s="390"/>
      <c r="Q214" s="390"/>
      <c r="R214" s="31"/>
      <c r="S214" s="392"/>
      <c r="T214" s="23">
        <f>O214</f>
        <v>0</v>
      </c>
      <c r="U214" s="23">
        <f>T214</f>
        <v>0</v>
      </c>
    </row>
    <row r="215" spans="1:31" ht="13.95" hidden="1" customHeight="1" x14ac:dyDescent="0.25">
      <c r="A215" s="828"/>
      <c r="B215" s="384" t="s">
        <v>49</v>
      </c>
      <c r="C215" s="384" t="s">
        <v>44</v>
      </c>
      <c r="D215" s="403"/>
      <c r="E215" s="6"/>
      <c r="F215" s="6"/>
      <c r="G215" s="6"/>
      <c r="H215" s="7"/>
      <c r="I215" s="7"/>
      <c r="J215" s="390"/>
      <c r="K215" s="390"/>
      <c r="L215" s="390"/>
      <c r="M215" s="31"/>
      <c r="N215" s="390">
        <f>P215</f>
        <v>0</v>
      </c>
      <c r="O215" s="390"/>
      <c r="P215" s="390"/>
      <c r="Q215" s="390"/>
      <c r="R215" s="31"/>
      <c r="S215" s="392"/>
      <c r="T215" s="23"/>
      <c r="U215" s="23">
        <f>T215</f>
        <v>0</v>
      </c>
    </row>
    <row r="216" spans="1:31" ht="28.2" customHeight="1" x14ac:dyDescent="0.25">
      <c r="A216" s="829"/>
      <c r="B216" s="412" t="s">
        <v>50</v>
      </c>
      <c r="C216" s="393"/>
      <c r="D216" s="393"/>
      <c r="E216" s="625">
        <f>E185+E196+E204</f>
        <v>782</v>
      </c>
      <c r="F216" s="706">
        <f>F185+F196+F204</f>
        <v>763</v>
      </c>
      <c r="G216" s="784">
        <f>G185+G196+G204</f>
        <v>777</v>
      </c>
      <c r="H216" s="784">
        <f>H185+H196+H204</f>
        <v>777</v>
      </c>
      <c r="I216" s="784">
        <f>I185+I196+I204</f>
        <v>777</v>
      </c>
      <c r="J216" s="391"/>
      <c r="K216" s="391"/>
      <c r="L216" s="391"/>
      <c r="M216" s="394"/>
      <c r="N216" s="391">
        <f>SUM(O216:S216)</f>
        <v>87612183.828199998</v>
      </c>
      <c r="O216" s="391">
        <f>O185+O196+O204+O208+O209+O210+O211+O215</f>
        <v>55033100.969999999</v>
      </c>
      <c r="P216" s="391">
        <f>P185+P196+P204+P208+P209+P210+P211+P212+P213+P215</f>
        <v>14557290.468200002</v>
      </c>
      <c r="Q216" s="391">
        <f>Q185+Q196+Q204+Q208+Q209+Q210+Q211</f>
        <v>0</v>
      </c>
      <c r="R216" s="804">
        <f>R185+R196+R204+R208+R209+R210+R211+R212</f>
        <v>18021792.390000001</v>
      </c>
      <c r="S216" s="400">
        <f>S185+S196+S204+S208+S209+S210+S211+S212</f>
        <v>0</v>
      </c>
      <c r="T216" s="400">
        <f>T185+T196+T204+T208+T209+T210+T211+T212+T214+T215</f>
        <v>80070987.049999982</v>
      </c>
      <c r="U216" s="400">
        <f>U185+U196+U204+U208+U209+U210+U211+U212+U214+U215</f>
        <v>80070987.049999982</v>
      </c>
      <c r="X216" s="25"/>
      <c r="AA216" s="25"/>
      <c r="AB216" s="32"/>
      <c r="AC216" s="25"/>
      <c r="AD216" s="25"/>
      <c r="AE216" s="25"/>
    </row>
    <row r="217" spans="1:31" ht="193.2" x14ac:dyDescent="0.25">
      <c r="A217" s="827" t="s">
        <v>68</v>
      </c>
      <c r="B217" s="833" t="s">
        <v>112</v>
      </c>
      <c r="C217" s="408" t="s">
        <v>69</v>
      </c>
      <c r="D217" s="19" t="s">
        <v>70</v>
      </c>
      <c r="E217" s="11" t="s">
        <v>471</v>
      </c>
      <c r="F217" s="691" t="s">
        <v>541</v>
      </c>
      <c r="G217" s="448" t="s">
        <v>541</v>
      </c>
      <c r="H217" s="448" t="s">
        <v>471</v>
      </c>
      <c r="I217" s="448" t="s">
        <v>471</v>
      </c>
      <c r="J217" s="387" t="s">
        <v>335</v>
      </c>
      <c r="K217" s="387" t="s">
        <v>607</v>
      </c>
      <c r="L217" s="387" t="s">
        <v>560</v>
      </c>
      <c r="M217" s="440" t="s">
        <v>615</v>
      </c>
      <c r="N217" s="14">
        <f>SUM(O217:R217)</f>
        <v>2160514.0303333336</v>
      </c>
      <c r="O217" s="14">
        <f>((((854025.01*1/12*8)+(854025.011/12*4))+((2198.86*20)/12*8+(2198.86*20)/12*4)))</f>
        <v>898002.21033333335</v>
      </c>
      <c r="P217" s="14">
        <f>((309063.22*1)/12*8)+((309063.22*1)/12*4)</f>
        <v>309063.21999999997</v>
      </c>
      <c r="Q217" s="430"/>
      <c r="R217" s="626">
        <f>((47672.43*20)/12*8)+((47672.43*20)/12*4)</f>
        <v>953448.60000000009</v>
      </c>
      <c r="S217" s="150"/>
      <c r="T217" s="151">
        <f>W217</f>
        <v>2210385.3203333337</v>
      </c>
      <c r="U217" s="151">
        <f>AB217</f>
        <v>2210385.3203333337</v>
      </c>
      <c r="W217" s="421">
        <f>SUM(X217:Z217)</f>
        <v>2210385.3203333337</v>
      </c>
      <c r="X217" s="484">
        <f>((((854025.01*1/12*8)+(854025.011/12*4))+((2198.86*21)/12*8+(2198.86*21)/12*4)))</f>
        <v>900201.07033333345</v>
      </c>
      <c r="Y217" s="484">
        <f>((309063.22*1)/12*8)+((309063.22*1)/12*4)</f>
        <v>309063.21999999997</v>
      </c>
      <c r="Z217" s="638">
        <f>((47672.43*21)/12*8)+((47672.43*21)/12*4)</f>
        <v>1001121.03</v>
      </c>
      <c r="AB217" s="421">
        <f>SUM(AC217:AE217)</f>
        <v>2210385.3203333337</v>
      </c>
      <c r="AC217" s="484">
        <f>((((854025.01*1/12*8)+(854025.011/12*4))+((2198.86*21)/12*8+(2198.86*21)/12*4)))</f>
        <v>900201.07033333345</v>
      </c>
      <c r="AD217" s="484">
        <f>((309063.22*1)/12*8)+((309063.22*1)/12*4)</f>
        <v>309063.21999999997</v>
      </c>
      <c r="AE217" s="638">
        <f>((47672.43*21)/12*8)+((47672.43*21)/12*4)</f>
        <v>1001121.03</v>
      </c>
    </row>
    <row r="218" spans="1:31" ht="179.4" x14ac:dyDescent="0.25">
      <c r="A218" s="828"/>
      <c r="B218" s="834"/>
      <c r="C218" s="408" t="s">
        <v>71</v>
      </c>
      <c r="D218" s="19" t="s">
        <v>70</v>
      </c>
      <c r="E218" s="11" t="s">
        <v>488</v>
      </c>
      <c r="F218" s="691" t="s">
        <v>542</v>
      </c>
      <c r="G218" s="448" t="s">
        <v>613</v>
      </c>
      <c r="H218" s="448" t="s">
        <v>619</v>
      </c>
      <c r="I218" s="448" t="s">
        <v>620</v>
      </c>
      <c r="J218" s="387" t="s">
        <v>336</v>
      </c>
      <c r="K218" s="387" t="s">
        <v>553</v>
      </c>
      <c r="L218" s="387" t="s">
        <v>560</v>
      </c>
      <c r="M218" s="440" t="s">
        <v>616</v>
      </c>
      <c r="N218" s="14">
        <f>SUM(O218:R218)</f>
        <v>7654868.4500000002</v>
      </c>
      <c r="O218" s="14">
        <f>((((806713.32*4)/12*8+(806713.32*4)/12*4)+((2198.86*64)/12*8+(2198.86*64)/12*4)))</f>
        <v>3367580.3200000003</v>
      </c>
      <c r="P218" s="14">
        <f>((309063.22*4)/12*8)+((309063.22*4)/12*4)</f>
        <v>1236252.8799999999</v>
      </c>
      <c r="Q218" s="14"/>
      <c r="R218" s="810">
        <f>((47672.43*64)/12*8)+((47672.43*64)/12*4)-0.27</f>
        <v>3051035.25</v>
      </c>
      <c r="S218" s="150"/>
      <c r="T218" s="151">
        <f>W218</f>
        <v>6819323.1633333331</v>
      </c>
      <c r="U218" s="151">
        <f>AB218</f>
        <v>6856928.0800000001</v>
      </c>
      <c r="W218" s="421">
        <f>SUM(X218:Z218)</f>
        <v>6819323.1633333331</v>
      </c>
      <c r="X218" s="484">
        <f>((((806713.32*4/12*8)+(806713.32*4/12*4))+((2198.86*47)/12*8+(2981.82*47)/12*4)))</f>
        <v>3342466.0733333337</v>
      </c>
      <c r="Y218" s="484">
        <f>((309063.22*4)/12*8)+((309063.22*4)/12*4)</f>
        <v>1236252.8799999999</v>
      </c>
      <c r="Z218" s="638">
        <f>((47672.43*47)/12*8)+((47672.43*47)/12*4)</f>
        <v>2240604.21</v>
      </c>
      <c r="AB218" s="421">
        <f>SUM(AC218:AE218)</f>
        <v>6856928.0800000001</v>
      </c>
      <c r="AC218" s="484">
        <f>((((806713.32*4/12*8)+(806713.32*4/12*4))+((2198.86*48)/12*8+(2198.86*48)/12*4)))</f>
        <v>3332398.56</v>
      </c>
      <c r="AD218" s="484">
        <f>((309063.22*4)/12*8)+((309063.22*4)/12*4)</f>
        <v>1236252.8799999999</v>
      </c>
      <c r="AE218" s="638">
        <f>((47672.43*48)/12*8)+((47672.43*48)/12*4)</f>
        <v>2288276.64</v>
      </c>
    </row>
    <row r="219" spans="1:31" ht="82.8" x14ac:dyDescent="0.25">
      <c r="A219" s="828"/>
      <c r="B219" s="834"/>
      <c r="C219" s="408" t="s">
        <v>39</v>
      </c>
      <c r="D219" s="19" t="s">
        <v>24</v>
      </c>
      <c r="E219" s="612"/>
      <c r="F219" s="612"/>
      <c r="G219" s="441"/>
      <c r="H219" s="442"/>
      <c r="I219" s="442"/>
      <c r="J219" s="213" t="s">
        <v>72</v>
      </c>
      <c r="K219" s="213" t="s">
        <v>72</v>
      </c>
      <c r="L219" s="213" t="s">
        <v>72</v>
      </c>
      <c r="M219" s="213" t="s">
        <v>72</v>
      </c>
      <c r="N219" s="430">
        <f t="shared" ref="N219:N227" si="78">SUM(O219:R219)</f>
        <v>0</v>
      </c>
      <c r="O219" s="213" t="s">
        <v>72</v>
      </c>
      <c r="P219" s="213" t="s">
        <v>72</v>
      </c>
      <c r="Q219" s="213"/>
      <c r="R219" s="213" t="s">
        <v>72</v>
      </c>
      <c r="S219" s="443"/>
      <c r="T219" s="150">
        <f t="shared" ref="T219" si="79">N219</f>
        <v>0</v>
      </c>
      <c r="U219" s="150">
        <f t="shared" ref="U219" si="80">T219</f>
        <v>0</v>
      </c>
    </row>
    <row r="220" spans="1:31" x14ac:dyDescent="0.25">
      <c r="A220" s="828"/>
      <c r="B220" s="834"/>
      <c r="C220" s="388" t="s">
        <v>57</v>
      </c>
      <c r="D220" s="19" t="s">
        <v>24</v>
      </c>
      <c r="E220" s="612">
        <v>1</v>
      </c>
      <c r="F220" s="691">
        <f>1-1</f>
        <v>0</v>
      </c>
      <c r="G220" s="11">
        <f>1-1</f>
        <v>0</v>
      </c>
      <c r="H220" s="615">
        <f>1-1</f>
        <v>0</v>
      </c>
      <c r="I220" s="615">
        <f>1-1</f>
        <v>0</v>
      </c>
      <c r="J220" s="151">
        <f t="shared" ref="J220:J227" si="81">K220</f>
        <v>180044.6</v>
      </c>
      <c r="K220" s="151">
        <v>180044.6</v>
      </c>
      <c r="L220" s="213"/>
      <c r="M220" s="213"/>
      <c r="N220" s="481">
        <f t="shared" si="78"/>
        <v>0</v>
      </c>
      <c r="O220" s="481">
        <f>G220*K220</f>
        <v>0</v>
      </c>
      <c r="P220" s="213"/>
      <c r="Q220" s="213"/>
      <c r="R220" s="213"/>
      <c r="S220" s="443"/>
      <c r="T220" s="150">
        <f>H220*K220</f>
        <v>0</v>
      </c>
      <c r="U220" s="150">
        <f>I220*K220</f>
        <v>0</v>
      </c>
    </row>
    <row r="221" spans="1:31" x14ac:dyDescent="0.25">
      <c r="A221" s="828"/>
      <c r="B221" s="834"/>
      <c r="C221" s="388" t="s">
        <v>28</v>
      </c>
      <c r="D221" s="19" t="s">
        <v>24</v>
      </c>
      <c r="E221" s="11">
        <v>3</v>
      </c>
      <c r="F221" s="691">
        <f>3-1</f>
        <v>2</v>
      </c>
      <c r="G221" s="448">
        <f>3</f>
        <v>3</v>
      </c>
      <c r="H221" s="766">
        <f>4-1</f>
        <v>3</v>
      </c>
      <c r="I221" s="766">
        <f>2</f>
        <v>2</v>
      </c>
      <c r="J221" s="151">
        <f t="shared" si="81"/>
        <v>180044.6</v>
      </c>
      <c r="K221" s="151">
        <v>180044.6</v>
      </c>
      <c r="L221" s="213"/>
      <c r="M221" s="213"/>
      <c r="N221" s="430">
        <f t="shared" si="78"/>
        <v>540133.80000000005</v>
      </c>
      <c r="O221" s="430">
        <f>G221*K221</f>
        <v>540133.80000000005</v>
      </c>
      <c r="P221" s="213"/>
      <c r="Q221" s="213"/>
      <c r="R221" s="213"/>
      <c r="S221" s="443"/>
      <c r="T221" s="150">
        <f>H221*K221</f>
        <v>540133.80000000005</v>
      </c>
      <c r="U221" s="150">
        <f>I221*K221</f>
        <v>360089.2</v>
      </c>
      <c r="W221" s="500" t="s">
        <v>359</v>
      </c>
    </row>
    <row r="222" spans="1:31" x14ac:dyDescent="0.25">
      <c r="A222" s="828"/>
      <c r="B222" s="834"/>
      <c r="C222" s="388" t="s">
        <v>30</v>
      </c>
      <c r="D222" s="19" t="s">
        <v>24</v>
      </c>
      <c r="E222" s="11">
        <v>6</v>
      </c>
      <c r="F222" s="691">
        <f>6+3</f>
        <v>9</v>
      </c>
      <c r="G222" s="448">
        <f>5</f>
        <v>5</v>
      </c>
      <c r="H222" s="766">
        <f>7+1</f>
        <v>8</v>
      </c>
      <c r="I222" s="767">
        <f>7</f>
        <v>7</v>
      </c>
      <c r="J222" s="151">
        <f t="shared" si="81"/>
        <v>177239.91</v>
      </c>
      <c r="K222" s="151">
        <v>177239.91</v>
      </c>
      <c r="L222" s="151"/>
      <c r="M222" s="151"/>
      <c r="N222" s="430">
        <f t="shared" si="78"/>
        <v>886199.55</v>
      </c>
      <c r="O222" s="430">
        <f t="shared" ref="O222:O224" si="82">G222*K222</f>
        <v>886199.55</v>
      </c>
      <c r="P222" s="430"/>
      <c r="Q222" s="430"/>
      <c r="R222" s="434"/>
      <c r="S222" s="444"/>
      <c r="T222" s="150">
        <f t="shared" ref="T222:T224" si="83">H222*K222</f>
        <v>1417919.28</v>
      </c>
      <c r="U222" s="150">
        <f t="shared" ref="U222:U224" si="84">I222*K222</f>
        <v>1240679.3700000001</v>
      </c>
    </row>
    <row r="223" spans="1:31" x14ac:dyDescent="0.25">
      <c r="A223" s="828"/>
      <c r="B223" s="834"/>
      <c r="C223" s="388" t="s">
        <v>32</v>
      </c>
      <c r="D223" s="19" t="s">
        <v>24</v>
      </c>
      <c r="E223" s="11">
        <v>0</v>
      </c>
      <c r="F223" s="11">
        <v>0</v>
      </c>
      <c r="G223" s="448">
        <v>2</v>
      </c>
      <c r="H223" s="418">
        <f>2-2</f>
        <v>0</v>
      </c>
      <c r="I223" s="418">
        <f>2-2</f>
        <v>0</v>
      </c>
      <c r="J223" s="151">
        <f t="shared" si="81"/>
        <v>232140.55</v>
      </c>
      <c r="K223" s="151">
        <v>232140.55</v>
      </c>
      <c r="L223" s="151"/>
      <c r="M223" s="151"/>
      <c r="N223" s="430">
        <f t="shared" si="78"/>
        <v>464281.1</v>
      </c>
      <c r="O223" s="430">
        <f t="shared" si="82"/>
        <v>464281.1</v>
      </c>
      <c r="P223" s="430"/>
      <c r="Q223" s="430"/>
      <c r="R223" s="434"/>
      <c r="S223" s="444"/>
      <c r="T223" s="150">
        <f t="shared" si="83"/>
        <v>0</v>
      </c>
      <c r="U223" s="150">
        <f t="shared" si="84"/>
        <v>0</v>
      </c>
    </row>
    <row r="224" spans="1:31" x14ac:dyDescent="0.25">
      <c r="A224" s="828"/>
      <c r="B224" s="834"/>
      <c r="C224" s="388" t="s">
        <v>52</v>
      </c>
      <c r="D224" s="19" t="s">
        <v>24</v>
      </c>
      <c r="E224" s="11">
        <v>1</v>
      </c>
      <c r="F224" s="691">
        <f>1-1</f>
        <v>0</v>
      </c>
      <c r="G224" s="11">
        <f>1-1</f>
        <v>0</v>
      </c>
      <c r="H224" s="418">
        <f>1-1</f>
        <v>0</v>
      </c>
      <c r="I224" s="418">
        <f>1-1</f>
        <v>0</v>
      </c>
      <c r="J224" s="151">
        <f t="shared" si="81"/>
        <v>413434.44</v>
      </c>
      <c r="K224" s="151">
        <v>413434.44</v>
      </c>
      <c r="L224" s="151"/>
      <c r="M224" s="151"/>
      <c r="N224" s="430">
        <f t="shared" si="78"/>
        <v>0</v>
      </c>
      <c r="O224" s="430">
        <f t="shared" si="82"/>
        <v>0</v>
      </c>
      <c r="P224" s="430"/>
      <c r="Q224" s="430"/>
      <c r="R224" s="434"/>
      <c r="S224" s="444"/>
      <c r="T224" s="150">
        <f t="shared" si="83"/>
        <v>0</v>
      </c>
      <c r="U224" s="150">
        <f t="shared" si="84"/>
        <v>0</v>
      </c>
    </row>
    <row r="225" spans="1:31" ht="82.95" customHeight="1" x14ac:dyDescent="0.25">
      <c r="A225" s="828"/>
      <c r="B225" s="834"/>
      <c r="C225" s="408" t="s">
        <v>73</v>
      </c>
      <c r="D225" s="19" t="s">
        <v>24</v>
      </c>
      <c r="E225" s="11">
        <v>1</v>
      </c>
      <c r="F225" s="691">
        <f>1-1</f>
        <v>0</v>
      </c>
      <c r="G225" s="448">
        <v>1</v>
      </c>
      <c r="H225" s="418">
        <v>0</v>
      </c>
      <c r="I225" s="615">
        <v>0</v>
      </c>
      <c r="J225" s="151">
        <f t="shared" si="81"/>
        <v>418710.27999999997</v>
      </c>
      <c r="K225" s="151">
        <f>416511.42+2198.86</f>
        <v>418710.27999999997</v>
      </c>
      <c r="L225" s="387">
        <v>0</v>
      </c>
      <c r="M225" s="440" t="s">
        <v>616</v>
      </c>
      <c r="N225" s="14">
        <f t="shared" si="78"/>
        <v>466382.70999999996</v>
      </c>
      <c r="O225" s="430">
        <f>G225*K225</f>
        <v>418710.27999999997</v>
      </c>
      <c r="P225" s="430">
        <v>0</v>
      </c>
      <c r="Q225" s="430"/>
      <c r="R225" s="440">
        <f>G225*47672.43</f>
        <v>47672.43</v>
      </c>
      <c r="S225" s="444"/>
      <c r="T225" s="150">
        <f>H225*K225</f>
        <v>0</v>
      </c>
      <c r="U225" s="150">
        <f>I225*K225</f>
        <v>0</v>
      </c>
    </row>
    <row r="226" spans="1:31" ht="82.95" customHeight="1" x14ac:dyDescent="0.25">
      <c r="A226" s="828"/>
      <c r="B226" s="834"/>
      <c r="C226" s="408" t="s">
        <v>74</v>
      </c>
      <c r="D226" s="19" t="s">
        <v>24</v>
      </c>
      <c r="E226" s="11"/>
      <c r="F226" s="11"/>
      <c r="G226" s="11">
        <f t="shared" ref="G226:G227" si="85">((E226*8)+(F226*4))/12</f>
        <v>0</v>
      </c>
      <c r="H226" s="418">
        <v>0</v>
      </c>
      <c r="I226" s="418">
        <v>0</v>
      </c>
      <c r="J226" s="151">
        <f t="shared" si="81"/>
        <v>40917.279999999999</v>
      </c>
      <c r="K226" s="151">
        <v>40917.279999999999</v>
      </c>
      <c r="L226" s="430" t="s">
        <v>26</v>
      </c>
      <c r="M226" s="14" t="s">
        <v>26</v>
      </c>
      <c r="N226" s="430">
        <f t="shared" si="78"/>
        <v>0</v>
      </c>
      <c r="O226" s="430">
        <f>G226*K226</f>
        <v>0</v>
      </c>
      <c r="P226" s="430" t="s">
        <v>26</v>
      </c>
      <c r="Q226" s="430"/>
      <c r="R226" s="434" t="s">
        <v>26</v>
      </c>
      <c r="S226" s="444"/>
      <c r="T226" s="150">
        <f>H226*K226</f>
        <v>0</v>
      </c>
      <c r="U226" s="150">
        <f>I226*K226</f>
        <v>0</v>
      </c>
    </row>
    <row r="227" spans="1:31" ht="13.95" customHeight="1" x14ac:dyDescent="0.25">
      <c r="A227" s="828"/>
      <c r="B227" s="834"/>
      <c r="C227" s="419" t="s">
        <v>58</v>
      </c>
      <c r="D227" s="19" t="s">
        <v>59</v>
      </c>
      <c r="E227" s="11">
        <v>5</v>
      </c>
      <c r="F227" s="11">
        <v>5</v>
      </c>
      <c r="G227" s="11">
        <f t="shared" si="85"/>
        <v>5</v>
      </c>
      <c r="H227" s="418">
        <v>5</v>
      </c>
      <c r="I227" s="418">
        <v>5</v>
      </c>
      <c r="J227" s="151">
        <f t="shared" si="81"/>
        <v>234360</v>
      </c>
      <c r="K227" s="151">
        <f>10000*1.5*1.302*12</f>
        <v>234360</v>
      </c>
      <c r="L227" s="430"/>
      <c r="M227" s="14"/>
      <c r="N227" s="484">
        <f t="shared" si="78"/>
        <v>1171800</v>
      </c>
      <c r="O227" s="14">
        <f>G227*K227</f>
        <v>1171800</v>
      </c>
      <c r="P227" s="430"/>
      <c r="Q227" s="430"/>
      <c r="R227" s="434"/>
      <c r="S227" s="444"/>
      <c r="T227" s="150">
        <f>H227*K227-1171800</f>
        <v>0</v>
      </c>
      <c r="U227" s="150">
        <f>I227*K227-1171800</f>
        <v>0</v>
      </c>
    </row>
    <row r="228" spans="1:31" ht="25.2" customHeight="1" x14ac:dyDescent="0.25">
      <c r="A228" s="828"/>
      <c r="B228" s="835"/>
      <c r="C228" s="420" t="s">
        <v>38</v>
      </c>
      <c r="D228" s="19"/>
      <c r="E228" s="11" t="s">
        <v>472</v>
      </c>
      <c r="F228" s="691" t="s">
        <v>540</v>
      </c>
      <c r="G228" s="693" t="s">
        <v>614</v>
      </c>
      <c r="H228" s="693" t="s">
        <v>617</v>
      </c>
      <c r="I228" s="693" t="s">
        <v>618</v>
      </c>
      <c r="J228" s="430" t="s">
        <v>26</v>
      </c>
      <c r="K228" s="430" t="s">
        <v>26</v>
      </c>
      <c r="L228" s="430" t="s">
        <v>26</v>
      </c>
      <c r="M228" s="14" t="s">
        <v>26</v>
      </c>
      <c r="N228" s="421">
        <f>SUM(O228:R228)</f>
        <v>13344179.640333332</v>
      </c>
      <c r="O228" s="430">
        <f>SUM(O217:O227)</f>
        <v>7746707.2603333332</v>
      </c>
      <c r="P228" s="430">
        <f>SUM(P217:P226)</f>
        <v>1545316.0999999999</v>
      </c>
      <c r="Q228" s="430"/>
      <c r="R228" s="801">
        <f>SUM(R217:R226)</f>
        <v>4052156.2800000003</v>
      </c>
      <c r="S228" s="431"/>
      <c r="T228" s="445">
        <f>SUM(T217:T227)</f>
        <v>10987761.563666666</v>
      </c>
      <c r="U228" s="431">
        <f>SUM(U217:U227)</f>
        <v>10668081.970333334</v>
      </c>
    </row>
    <row r="229" spans="1:31" ht="193.2" x14ac:dyDescent="0.25">
      <c r="A229" s="828"/>
      <c r="B229" s="833" t="s">
        <v>316</v>
      </c>
      <c r="C229" s="408" t="s">
        <v>69</v>
      </c>
      <c r="D229" s="19" t="s">
        <v>70</v>
      </c>
      <c r="E229" s="11" t="s">
        <v>473</v>
      </c>
      <c r="F229" s="691" t="s">
        <v>543</v>
      </c>
      <c r="G229" s="448" t="s">
        <v>543</v>
      </c>
      <c r="H229" s="448" t="s">
        <v>473</v>
      </c>
      <c r="I229" s="448" t="s">
        <v>473</v>
      </c>
      <c r="J229" s="387" t="s">
        <v>555</v>
      </c>
      <c r="K229" s="387" t="s">
        <v>554</v>
      </c>
      <c r="L229" s="387" t="s">
        <v>560</v>
      </c>
      <c r="M229" s="440" t="s">
        <v>616</v>
      </c>
      <c r="N229" s="14">
        <f>SUM(O229:R229)</f>
        <v>5601993.0999999996</v>
      </c>
      <c r="O229" s="14">
        <f>((((1306992.83*2)/12*8+(1306992.83*2)/12*4)+((2750.57*47)/12*8+(2750.57*47)/12*4)))</f>
        <v>2743262.45</v>
      </c>
      <c r="P229" s="14">
        <f>((309063.22*2)/12*8)+((309063.22*2)/12*4)</f>
        <v>618126.43999999994</v>
      </c>
      <c r="Q229" s="430"/>
      <c r="R229" s="654">
        <f>((47672.43*47)/12*8)+((47672.43*47)/12*4)</f>
        <v>2240604.21</v>
      </c>
      <c r="S229" s="431"/>
      <c r="T229" s="150">
        <f>W229</f>
        <v>5551570.0999999996</v>
      </c>
      <c r="U229" s="150">
        <f>AB229</f>
        <v>5551570.0999999996</v>
      </c>
      <c r="V229" s="33"/>
      <c r="W229" s="421">
        <f>SUM(X229:Z229)</f>
        <v>5551570.0999999996</v>
      </c>
      <c r="X229" s="484">
        <f>((((1306992.83*2)/12*8+(1306992.83*2)/12*4)+((2750.57*46)/12*8+(2750.57*46)/12*4)))</f>
        <v>2740511.8800000004</v>
      </c>
      <c r="Y229" s="484">
        <f>((309063.22*2)/12*8)+((309063.22*2)/12*4)</f>
        <v>618126.43999999994</v>
      </c>
      <c r="Z229" s="639">
        <f>((47672.43*46)/12*8)+((47672.43*46)/12*4)</f>
        <v>2192931.7799999998</v>
      </c>
      <c r="AB229" s="421">
        <f>SUM(AC229:AE229)</f>
        <v>5551570.0999999996</v>
      </c>
      <c r="AC229" s="484">
        <f>((((1306992.83*2)/12*8+(1306992.83*2)/12*4)+((2750.57*46)/12*8+(2750.57*46)/12*4)))</f>
        <v>2740511.8800000004</v>
      </c>
      <c r="AD229" s="484">
        <f>((309063.22*2)/12*8)+((309063.22*2)/12*4)</f>
        <v>618126.43999999994</v>
      </c>
      <c r="AE229" s="639">
        <f>((47672.43*46)/12*8)+((47672.43*46)/12*4)</f>
        <v>2192931.7799999998</v>
      </c>
    </row>
    <row r="230" spans="1:31" ht="179.4" x14ac:dyDescent="0.25">
      <c r="A230" s="828"/>
      <c r="B230" s="834"/>
      <c r="C230" s="408" t="s">
        <v>71</v>
      </c>
      <c r="D230" s="19" t="s">
        <v>70</v>
      </c>
      <c r="E230" s="613" t="s">
        <v>489</v>
      </c>
      <c r="F230" s="695" t="s">
        <v>544</v>
      </c>
      <c r="G230" s="446" t="s">
        <v>544</v>
      </c>
      <c r="H230" s="446" t="s">
        <v>544</v>
      </c>
      <c r="I230" s="446" t="s">
        <v>544</v>
      </c>
      <c r="J230" s="387" t="s">
        <v>556</v>
      </c>
      <c r="K230" s="387" t="s">
        <v>557</v>
      </c>
      <c r="L230" s="387" t="s">
        <v>560</v>
      </c>
      <c r="M230" s="440" t="s">
        <v>616</v>
      </c>
      <c r="N230" s="430">
        <f>SUM(O230:R230)</f>
        <v>7999166.2199999997</v>
      </c>
      <c r="O230" s="484">
        <f>((((1060440.91*4)/12*8+(1060440.91*4)/12*4)+((2750.57*50)/12*8+(2750.57*50)/12*4)))</f>
        <v>4379292.1399999997</v>
      </c>
      <c r="P230" s="484">
        <f>((309063.22*4)/12*8)+((309063.22*4)/12*4)</f>
        <v>1236252.8799999999</v>
      </c>
      <c r="Q230" s="430"/>
      <c r="R230" s="802">
        <f>((47672.43*50)/12*8)+((47672.43*50)/12*4)-0.3</f>
        <v>2383621.2000000002</v>
      </c>
      <c r="S230" s="431"/>
      <c r="T230" s="341">
        <f>W230</f>
        <v>7999166.5199999996</v>
      </c>
      <c r="U230" s="341">
        <f>AB230</f>
        <v>7999166.5199999996</v>
      </c>
      <c r="W230" s="421">
        <f>SUM(X230:Z230)</f>
        <v>7999166.5199999996</v>
      </c>
      <c r="X230" s="484">
        <f>((((1060440.91*4)/12*8+(1060440.91*4)/12*4)+((2750.57*50)/12*8+(2750.57*50)/12*4)))</f>
        <v>4379292.1399999997</v>
      </c>
      <c r="Y230" s="484">
        <f>((309063.22*4)/12*8)+((309063.22*4)/12*4)</f>
        <v>1236252.8799999999</v>
      </c>
      <c r="Z230" s="639">
        <f>((47672.43*50)/12*8)+((47672.43*50)/12*4)</f>
        <v>2383621.5</v>
      </c>
      <c r="AB230" s="421">
        <f>SUM(AC230:AE230)</f>
        <v>7999166.5199999996</v>
      </c>
      <c r="AC230" s="484">
        <f>((((1060440.91*4)/12*8+(1060440.91*4)/12*4)+((2750.57*50)/12*8+(2750.57*50)/12*4)))</f>
        <v>4379292.1399999997</v>
      </c>
      <c r="AD230" s="484">
        <f>((309063.22*4)/12*8)+((309063.22*4)/12*4)</f>
        <v>1236252.8799999999</v>
      </c>
      <c r="AE230" s="639">
        <f>((47672.43*50)/12*8)+((47672.43*50)/12*4)</f>
        <v>2383621.5</v>
      </c>
    </row>
    <row r="231" spans="1:31" ht="82.8" x14ac:dyDescent="0.25">
      <c r="A231" s="828"/>
      <c r="B231" s="835"/>
      <c r="C231" s="408" t="s">
        <v>25</v>
      </c>
      <c r="D231" s="19" t="s">
        <v>24</v>
      </c>
      <c r="E231" s="10" t="s">
        <v>26</v>
      </c>
      <c r="F231" s="10" t="s">
        <v>26</v>
      </c>
      <c r="G231" s="10" t="s">
        <v>26</v>
      </c>
      <c r="H231" s="429" t="s">
        <v>26</v>
      </c>
      <c r="I231" s="429" t="s">
        <v>26</v>
      </c>
      <c r="J231" s="429" t="s">
        <v>26</v>
      </c>
      <c r="K231" s="429" t="s">
        <v>26</v>
      </c>
      <c r="L231" s="429" t="s">
        <v>26</v>
      </c>
      <c r="M231" s="418" t="s">
        <v>26</v>
      </c>
      <c r="N231" s="430"/>
      <c r="O231" s="430"/>
      <c r="P231" s="429" t="s">
        <v>26</v>
      </c>
      <c r="Q231" s="429"/>
      <c r="R231" s="418" t="s">
        <v>26</v>
      </c>
      <c r="S231" s="10"/>
      <c r="T231" s="150"/>
      <c r="U231" s="150"/>
    </row>
    <row r="232" spans="1:31" x14ac:dyDescent="0.25">
      <c r="A232" s="828"/>
      <c r="B232" s="405"/>
      <c r="C232" s="696" t="s">
        <v>57</v>
      </c>
      <c r="D232" s="19" t="s">
        <v>24</v>
      </c>
      <c r="E232" s="446">
        <v>0</v>
      </c>
      <c r="F232" s="695">
        <v>2</v>
      </c>
      <c r="G232" s="448">
        <v>1</v>
      </c>
      <c r="H232" s="424">
        <f>4-1</f>
        <v>3</v>
      </c>
      <c r="I232" s="424">
        <f>6-3</f>
        <v>3</v>
      </c>
      <c r="J232" s="151">
        <f>K232</f>
        <v>100238.42</v>
      </c>
      <c r="K232" s="151">
        <v>100238.42</v>
      </c>
      <c r="L232" s="429" t="s">
        <v>26</v>
      </c>
      <c r="M232" s="418" t="s">
        <v>26</v>
      </c>
      <c r="N232" s="430">
        <f>O232</f>
        <v>100238.42</v>
      </c>
      <c r="O232" s="398">
        <f>G232*K232</f>
        <v>100238.42</v>
      </c>
      <c r="P232" s="429" t="s">
        <v>26</v>
      </c>
      <c r="Q232" s="429"/>
      <c r="R232" s="418" t="s">
        <v>26</v>
      </c>
      <c r="S232" s="10"/>
      <c r="T232" s="150">
        <f>H232*K232</f>
        <v>300715.26</v>
      </c>
      <c r="U232" s="150">
        <f>I232*K232</f>
        <v>300715.26</v>
      </c>
    </row>
    <row r="233" spans="1:31" x14ac:dyDescent="0.25">
      <c r="A233" s="828"/>
      <c r="B233" s="405"/>
      <c r="C233" s="388" t="s">
        <v>31</v>
      </c>
      <c r="D233" s="19" t="s">
        <v>24</v>
      </c>
      <c r="E233" s="613">
        <f>2-2</f>
        <v>0</v>
      </c>
      <c r="F233" s="613">
        <f>2-2</f>
        <v>0</v>
      </c>
      <c r="G233" s="11">
        <f t="shared" ref="G233" si="86">((E233*8)+(F233*4))/12</f>
        <v>0</v>
      </c>
      <c r="H233" s="447">
        <f>2-2</f>
        <v>0</v>
      </c>
      <c r="I233" s="447">
        <f>2-2</f>
        <v>0</v>
      </c>
      <c r="J233" s="151">
        <f t="shared" ref="J233:J234" si="87">K233</f>
        <v>339195.55</v>
      </c>
      <c r="K233" s="151">
        <v>339195.55</v>
      </c>
      <c r="L233" s="429" t="s">
        <v>26</v>
      </c>
      <c r="M233" s="418" t="s">
        <v>26</v>
      </c>
      <c r="N233" s="430">
        <f t="shared" ref="N233:N234" si="88">O233</f>
        <v>0</v>
      </c>
      <c r="O233" s="398">
        <f t="shared" ref="O233:O234" si="89">G233*K233</f>
        <v>0</v>
      </c>
      <c r="P233" s="429" t="s">
        <v>26</v>
      </c>
      <c r="Q233" s="429"/>
      <c r="R233" s="418" t="s">
        <v>26</v>
      </c>
      <c r="S233" s="10"/>
      <c r="T233" s="150">
        <f t="shared" ref="T233:T234" si="90">H233*K233</f>
        <v>0</v>
      </c>
      <c r="U233" s="150">
        <f t="shared" ref="U233:U234" si="91">I233*K233</f>
        <v>0</v>
      </c>
    </row>
    <row r="234" spans="1:31" x14ac:dyDescent="0.25">
      <c r="A234" s="828"/>
      <c r="B234" s="405"/>
      <c r="C234" s="696" t="s">
        <v>52</v>
      </c>
      <c r="D234" s="19" t="s">
        <v>24</v>
      </c>
      <c r="E234" s="613">
        <v>0</v>
      </c>
      <c r="F234" s="695">
        <v>1</v>
      </c>
      <c r="G234" s="11">
        <f>((E234*8)+(F234*4))/12</f>
        <v>0.33333333333333331</v>
      </c>
      <c r="H234" s="447">
        <f>5-5</f>
        <v>0</v>
      </c>
      <c r="I234" s="447">
        <f>5-5</f>
        <v>0</v>
      </c>
      <c r="J234" s="151">
        <f t="shared" si="87"/>
        <v>499511.75</v>
      </c>
      <c r="K234" s="151">
        <v>499511.75</v>
      </c>
      <c r="L234" s="429" t="s">
        <v>26</v>
      </c>
      <c r="M234" s="418" t="s">
        <v>26</v>
      </c>
      <c r="N234" s="430">
        <f t="shared" si="88"/>
        <v>166503.91666666666</v>
      </c>
      <c r="O234" s="398">
        <f t="shared" si="89"/>
        <v>166503.91666666666</v>
      </c>
      <c r="P234" s="429" t="s">
        <v>26</v>
      </c>
      <c r="Q234" s="429"/>
      <c r="R234" s="418" t="s">
        <v>26</v>
      </c>
      <c r="S234" s="10"/>
      <c r="T234" s="150">
        <f t="shared" si="90"/>
        <v>0</v>
      </c>
      <c r="U234" s="150">
        <f t="shared" si="91"/>
        <v>0</v>
      </c>
    </row>
    <row r="235" spans="1:31" x14ac:dyDescent="0.25">
      <c r="A235" s="828"/>
      <c r="B235" s="405"/>
      <c r="C235" s="388" t="s">
        <v>34</v>
      </c>
      <c r="D235" s="19" t="s">
        <v>24</v>
      </c>
      <c r="E235" s="613">
        <v>1</v>
      </c>
      <c r="F235" s="695">
        <f>1-1</f>
        <v>0</v>
      </c>
      <c r="G235" s="11">
        <f>((E235*8)+(F235*4))/12-1</f>
        <v>-0.33333333333333337</v>
      </c>
      <c r="H235" s="447">
        <f>3-3</f>
        <v>0</v>
      </c>
      <c r="I235" s="447">
        <f>3-3</f>
        <v>0</v>
      </c>
      <c r="J235" s="151">
        <f>K235</f>
        <v>23581.87</v>
      </c>
      <c r="K235" s="151">
        <v>23581.87</v>
      </c>
      <c r="L235" s="429" t="s">
        <v>26</v>
      </c>
      <c r="M235" s="418" t="s">
        <v>26</v>
      </c>
      <c r="N235" s="430">
        <f>O235</f>
        <v>-7860.6233333333339</v>
      </c>
      <c r="O235" s="398">
        <f>G235*K235</f>
        <v>-7860.6233333333339</v>
      </c>
      <c r="P235" s="429" t="s">
        <v>26</v>
      </c>
      <c r="Q235" s="429"/>
      <c r="R235" s="418" t="s">
        <v>26</v>
      </c>
      <c r="S235" s="10"/>
      <c r="T235" s="150">
        <f>H235*K235</f>
        <v>0</v>
      </c>
      <c r="U235" s="150">
        <f>I235*K235</f>
        <v>0</v>
      </c>
    </row>
    <row r="236" spans="1:31" ht="82.95" customHeight="1" x14ac:dyDescent="0.25">
      <c r="A236" s="828"/>
      <c r="B236" s="405"/>
      <c r="C236" s="408" t="s">
        <v>73</v>
      </c>
      <c r="D236" s="19" t="s">
        <v>24</v>
      </c>
      <c r="E236" s="613">
        <v>0</v>
      </c>
      <c r="F236" s="695">
        <v>1</v>
      </c>
      <c r="G236" s="693">
        <f>1-1</f>
        <v>0</v>
      </c>
      <c r="H236" s="424">
        <v>1</v>
      </c>
      <c r="I236" s="424">
        <v>1</v>
      </c>
      <c r="J236" s="151">
        <f>SUM(K236:M236)</f>
        <v>472299.58</v>
      </c>
      <c r="K236" s="151">
        <f>469549.01+2750.57</f>
        <v>472299.58</v>
      </c>
      <c r="L236" s="387"/>
      <c r="M236" s="440" t="s">
        <v>616</v>
      </c>
      <c r="N236" s="398">
        <f>SUM(O236:R236)</f>
        <v>0</v>
      </c>
      <c r="O236" s="398">
        <f>G236*K236</f>
        <v>0</v>
      </c>
      <c r="P236" s="398">
        <f>G236*4001.99</f>
        <v>0</v>
      </c>
      <c r="Q236" s="398"/>
      <c r="R236" s="654">
        <f>((47672.43*0)/12*8)+((47672.43*0)/12*4)</f>
        <v>0</v>
      </c>
      <c r="S236" s="399"/>
      <c r="T236" s="150">
        <f>W236</f>
        <v>476301.56999999995</v>
      </c>
      <c r="U236" s="150">
        <f>AB236</f>
        <v>476301.56999999995</v>
      </c>
      <c r="W236" s="416">
        <f>SUM(X236:Z236)</f>
        <v>476301.56999999995</v>
      </c>
      <c r="X236" s="14">
        <f>((472299.58*1)/12*8)+(472299.58*1)/12*4</f>
        <v>472299.57999999996</v>
      </c>
      <c r="Y236" s="454">
        <f>4001.99*1</f>
        <v>4001.99</v>
      </c>
      <c r="Z236" s="806">
        <f>47672.43*0</f>
        <v>0</v>
      </c>
      <c r="AB236" s="416">
        <f>SUM(AC236:AE236)</f>
        <v>476301.56999999995</v>
      </c>
      <c r="AC236" s="14">
        <f>((472299.58*1)/12*8)+(472299.58*1)/12*4</f>
        <v>472299.57999999996</v>
      </c>
      <c r="AD236" s="454">
        <f>4001.99*1</f>
        <v>4001.99</v>
      </c>
      <c r="AE236" s="806">
        <f>47672.43*0</f>
        <v>0</v>
      </c>
    </row>
    <row r="237" spans="1:31" ht="82.95" customHeight="1" x14ac:dyDescent="0.25">
      <c r="A237" s="828"/>
      <c r="B237" s="405"/>
      <c r="C237" s="408" t="s">
        <v>74</v>
      </c>
      <c r="D237" s="19" t="s">
        <v>24</v>
      </c>
      <c r="E237" s="613">
        <v>2</v>
      </c>
      <c r="F237" s="695">
        <f>2+1</f>
        <v>3</v>
      </c>
      <c r="G237" s="691">
        <f>2</f>
        <v>2</v>
      </c>
      <c r="H237" s="703">
        <f>3</f>
        <v>3</v>
      </c>
      <c r="I237" s="703">
        <f>3</f>
        <v>3</v>
      </c>
      <c r="J237" s="151">
        <f>K237</f>
        <v>60516.15</v>
      </c>
      <c r="K237" s="151">
        <f>57765.58+2750.57</f>
        <v>60516.15</v>
      </c>
      <c r="L237" s="398"/>
      <c r="M237" s="151"/>
      <c r="N237" s="398">
        <f>O237</f>
        <v>121032.3</v>
      </c>
      <c r="O237" s="398">
        <f>G237*K237</f>
        <v>121032.3</v>
      </c>
      <c r="P237" s="398"/>
      <c r="Q237" s="398"/>
      <c r="R237" s="151"/>
      <c r="S237" s="399"/>
      <c r="T237" s="150">
        <f>H237*K237</f>
        <v>181548.45</v>
      </c>
      <c r="U237" s="150">
        <f>I237*K237</f>
        <v>181548.45</v>
      </c>
      <c r="W237" s="811" t="s">
        <v>621</v>
      </c>
    </row>
    <row r="238" spans="1:31" ht="13.95" customHeight="1" x14ac:dyDescent="0.25">
      <c r="A238" s="828"/>
      <c r="B238" s="405"/>
      <c r="C238" s="419" t="s">
        <v>58</v>
      </c>
      <c r="D238" s="19" t="s">
        <v>59</v>
      </c>
      <c r="E238" s="613">
        <v>6</v>
      </c>
      <c r="F238" s="613">
        <v>6</v>
      </c>
      <c r="G238" s="11">
        <f>((E238*8)+(F238*4))/12</f>
        <v>6</v>
      </c>
      <c r="H238" s="447">
        <v>6</v>
      </c>
      <c r="I238" s="447">
        <v>6</v>
      </c>
      <c r="J238" s="151">
        <f>K238</f>
        <v>234360</v>
      </c>
      <c r="K238" s="151">
        <f>10000*1.5*1.302*12</f>
        <v>234360</v>
      </c>
      <c r="L238" s="398"/>
      <c r="M238" s="151"/>
      <c r="N238" s="454">
        <f>O238</f>
        <v>1406160</v>
      </c>
      <c r="O238" s="151">
        <f>G238*K238</f>
        <v>1406160</v>
      </c>
      <c r="P238" s="398"/>
      <c r="Q238" s="398"/>
      <c r="R238" s="151"/>
      <c r="S238" s="399"/>
      <c r="T238" s="150">
        <f>H238*K238-1406160</f>
        <v>0</v>
      </c>
      <c r="U238" s="150">
        <f>I238*K238-1406160</f>
        <v>0</v>
      </c>
    </row>
    <row r="239" spans="1:31" ht="31.95" customHeight="1" x14ac:dyDescent="0.25">
      <c r="A239" s="828"/>
      <c r="B239" s="405"/>
      <c r="C239" s="423" t="s">
        <v>548</v>
      </c>
      <c r="D239" s="19"/>
      <c r="E239" s="613" t="s">
        <v>545</v>
      </c>
      <c r="F239" s="695" t="s">
        <v>545</v>
      </c>
      <c r="G239" s="697" t="s">
        <v>622</v>
      </c>
      <c r="H239" s="697" t="s">
        <v>622</v>
      </c>
      <c r="I239" s="697" t="s">
        <v>622</v>
      </c>
      <c r="J239" s="398" t="s">
        <v>26</v>
      </c>
      <c r="K239" s="398" t="s">
        <v>26</v>
      </c>
      <c r="L239" s="398" t="s">
        <v>26</v>
      </c>
      <c r="M239" s="151" t="s">
        <v>26</v>
      </c>
      <c r="N239" s="416">
        <f>SUM(O239:R239)</f>
        <v>15387233.333333334</v>
      </c>
      <c r="O239" s="398">
        <f>SUM(O229:O238)</f>
        <v>8908628.6033333335</v>
      </c>
      <c r="P239" s="398">
        <f>SUM(P229:P237)</f>
        <v>1854379.3199999998</v>
      </c>
      <c r="Q239" s="398"/>
      <c r="R239" s="653">
        <f>SUM(R229:R237)</f>
        <v>4624225.41</v>
      </c>
      <c r="S239" s="399"/>
      <c r="T239" s="431">
        <f>SUM(T229:T238)</f>
        <v>14509301.899999999</v>
      </c>
      <c r="U239" s="399">
        <f>T239</f>
        <v>14509301.899999999</v>
      </c>
      <c r="V239" s="25"/>
      <c r="W239" s="401" t="s">
        <v>447</v>
      </c>
      <c r="Z239" s="401" t="s">
        <v>358</v>
      </c>
      <c r="AB239" s="401" t="s">
        <v>589</v>
      </c>
      <c r="AE239" s="401" t="s">
        <v>358</v>
      </c>
    </row>
    <row r="240" spans="1:31" ht="179.4" x14ac:dyDescent="0.25">
      <c r="A240" s="828"/>
      <c r="B240" s="407" t="s">
        <v>113</v>
      </c>
      <c r="C240" s="408" t="s">
        <v>71</v>
      </c>
      <c r="D240" s="19" t="s">
        <v>70</v>
      </c>
      <c r="E240" s="11" t="s">
        <v>474</v>
      </c>
      <c r="F240" s="691" t="s">
        <v>546</v>
      </c>
      <c r="G240" s="448" t="s">
        <v>623</v>
      </c>
      <c r="H240" s="448" t="s">
        <v>624</v>
      </c>
      <c r="I240" s="448" t="s">
        <v>547</v>
      </c>
      <c r="J240" s="14" t="s">
        <v>558</v>
      </c>
      <c r="K240" s="387" t="s">
        <v>559</v>
      </c>
      <c r="L240" s="387" t="s">
        <v>560</v>
      </c>
      <c r="M240" s="440" t="s">
        <v>616</v>
      </c>
      <c r="N240" s="151">
        <f>SUM(O240:R240)</f>
        <v>3518505.17</v>
      </c>
      <c r="O240" s="430">
        <f>((((1122596.99*2)/12*8+(1122596.99*2)/12*4)+((2726.4*13)/12*8+(2726.4*13)/12*4)))</f>
        <v>2280637.1800000002</v>
      </c>
      <c r="P240" s="398">
        <f>((309063.22*2)/12*8)+((309063.22*2)/12*4)</f>
        <v>618126.43999999994</v>
      </c>
      <c r="Q240" s="398"/>
      <c r="R240" s="803">
        <f>47672.43*13-0.04</f>
        <v>619741.54999999993</v>
      </c>
      <c r="S240" s="150"/>
      <c r="T240" s="150">
        <f>W240</f>
        <v>3468106.38</v>
      </c>
      <c r="U240" s="150">
        <f>AB240</f>
        <v>3264287.6473333333</v>
      </c>
      <c r="W240" s="416">
        <f>SUM(X240:Z240)</f>
        <v>3468106.38</v>
      </c>
      <c r="X240" s="14">
        <f>((((1122596.99*2)/12*8+(1122596.99*2)/12*4)+((2726.4*12)/12*8+(2726.4*12)/12*4)))</f>
        <v>2277910.7799999998</v>
      </c>
      <c r="Y240" s="454">
        <f>((309063.22*2)/12*8)+((309063.22*2)/12*4)</f>
        <v>618126.43999999994</v>
      </c>
      <c r="Z240" s="806">
        <f>47672.43*12</f>
        <v>572069.16</v>
      </c>
      <c r="AB240" s="416">
        <f>SUM(AC240:AE240)</f>
        <v>3264287.6473333333</v>
      </c>
      <c r="AC240" s="498">
        <f>((((1122596.99*2)/12*8+(1122596.99*2)/12*4)+((2726.4*10)/12*8+(2726.4*10)/12*4)))</f>
        <v>2272457.98</v>
      </c>
      <c r="AD240" s="454">
        <f>((309063.22*2)/12*8)+((309063.222)/12*4)</f>
        <v>515105.3673333333</v>
      </c>
      <c r="AE240" s="806">
        <f>47672.43*10</f>
        <v>476724.3</v>
      </c>
    </row>
    <row r="241" spans="1:24" ht="82.8" x14ac:dyDescent="0.25">
      <c r="A241" s="828"/>
      <c r="B241" s="405"/>
      <c r="C241" s="408" t="s">
        <v>25</v>
      </c>
      <c r="D241" s="19" t="s">
        <v>24</v>
      </c>
      <c r="E241" s="11"/>
      <c r="F241" s="11"/>
      <c r="G241" s="11"/>
      <c r="H241" s="418"/>
      <c r="I241" s="418"/>
      <c r="J241" s="387"/>
      <c r="K241" s="387"/>
      <c r="L241" s="387"/>
      <c r="M241" s="14"/>
      <c r="N241" s="398"/>
      <c r="O241" s="430"/>
      <c r="P241" s="398"/>
      <c r="Q241" s="398"/>
      <c r="R241" s="151"/>
      <c r="S241" s="150"/>
      <c r="T241" s="150"/>
      <c r="U241" s="150"/>
    </row>
    <row r="242" spans="1:24" x14ac:dyDescent="0.25">
      <c r="A242" s="828"/>
      <c r="B242" s="405"/>
      <c r="C242" s="388" t="s">
        <v>29</v>
      </c>
      <c r="D242" s="19" t="s">
        <v>24</v>
      </c>
      <c r="E242" s="11"/>
      <c r="F242" s="11"/>
      <c r="G242" s="10">
        <f>((E242*8)+(F242*4))/12</f>
        <v>0</v>
      </c>
      <c r="H242" s="418"/>
      <c r="I242" s="418"/>
      <c r="J242" s="387">
        <f>K242</f>
        <v>140493.91</v>
      </c>
      <c r="K242" s="387">
        <v>140493.91</v>
      </c>
      <c r="L242" s="387"/>
      <c r="M242" s="14"/>
      <c r="N242" s="398">
        <f>O242</f>
        <v>0</v>
      </c>
      <c r="O242" s="430">
        <f>K242*G242</f>
        <v>0</v>
      </c>
      <c r="P242" s="398"/>
      <c r="Q242" s="398"/>
      <c r="R242" s="151"/>
      <c r="S242" s="150"/>
      <c r="T242" s="150">
        <f>H242*K242</f>
        <v>0</v>
      </c>
      <c r="U242" s="150">
        <f>I242*K242</f>
        <v>0</v>
      </c>
    </row>
    <row r="243" spans="1:24" x14ac:dyDescent="0.25">
      <c r="A243" s="828"/>
      <c r="B243" s="405"/>
      <c r="C243" s="388" t="s">
        <v>34</v>
      </c>
      <c r="D243" s="19" t="s">
        <v>24</v>
      </c>
      <c r="E243" s="11"/>
      <c r="F243" s="11"/>
      <c r="G243" s="10">
        <f>((E243*8)+(F243*4))/12</f>
        <v>0</v>
      </c>
      <c r="H243" s="418"/>
      <c r="I243" s="418"/>
      <c r="J243" s="387">
        <f>K243</f>
        <v>23581.87</v>
      </c>
      <c r="K243" s="387">
        <v>23581.87</v>
      </c>
      <c r="L243" s="387"/>
      <c r="M243" s="14"/>
      <c r="N243" s="398">
        <f>O243</f>
        <v>0</v>
      </c>
      <c r="O243" s="430">
        <f>K243*G243</f>
        <v>0</v>
      </c>
      <c r="P243" s="398"/>
      <c r="Q243" s="398"/>
      <c r="R243" s="151"/>
      <c r="S243" s="150"/>
      <c r="T243" s="150">
        <f>H243*K243</f>
        <v>0</v>
      </c>
      <c r="U243" s="150">
        <f>I243*K243</f>
        <v>0</v>
      </c>
    </row>
    <row r="244" spans="1:24" ht="13.95" customHeight="1" x14ac:dyDescent="0.25">
      <c r="A244" s="828"/>
      <c r="B244" s="405"/>
      <c r="C244" s="419" t="s">
        <v>58</v>
      </c>
      <c r="D244" s="19" t="s">
        <v>59</v>
      </c>
      <c r="E244" s="11">
        <v>2</v>
      </c>
      <c r="F244" s="11">
        <v>2</v>
      </c>
      <c r="G244" s="11">
        <v>2</v>
      </c>
      <c r="H244" s="418">
        <v>2</v>
      </c>
      <c r="I244" s="418">
        <v>2</v>
      </c>
      <c r="J244" s="387">
        <f>K244</f>
        <v>234360</v>
      </c>
      <c r="K244" s="387">
        <f>10000*1.5*1.302*12</f>
        <v>234360</v>
      </c>
      <c r="L244" s="387"/>
      <c r="M244" s="14"/>
      <c r="N244" s="454">
        <f>O244</f>
        <v>468720</v>
      </c>
      <c r="O244" s="14">
        <f>K244*G244</f>
        <v>468720</v>
      </c>
      <c r="P244" s="398"/>
      <c r="Q244" s="398"/>
      <c r="R244" s="151"/>
      <c r="S244" s="150"/>
      <c r="T244" s="150">
        <f>H244*K244-468720</f>
        <v>0</v>
      </c>
      <c r="U244" s="150">
        <f>I244*K244-468720</f>
        <v>0</v>
      </c>
    </row>
    <row r="245" spans="1:24" ht="25.95" customHeight="1" x14ac:dyDescent="0.25">
      <c r="A245" s="828"/>
      <c r="B245" s="405"/>
      <c r="C245" s="423" t="s">
        <v>38</v>
      </c>
      <c r="D245" s="19"/>
      <c r="E245" s="11" t="str">
        <f>E240</f>
        <v>2\15</v>
      </c>
      <c r="F245" s="691" t="str">
        <f>F240</f>
        <v>2\9</v>
      </c>
      <c r="G245" s="693" t="str">
        <f>G240</f>
        <v>2\13</v>
      </c>
      <c r="H245" s="767" t="str">
        <f>H240</f>
        <v>2\12</v>
      </c>
      <c r="I245" s="767" t="str">
        <f>I240</f>
        <v>2\10</v>
      </c>
      <c r="J245" s="398" t="s">
        <v>26</v>
      </c>
      <c r="K245" s="398" t="s">
        <v>26</v>
      </c>
      <c r="L245" s="398" t="s">
        <v>26</v>
      </c>
      <c r="M245" s="151" t="s">
        <v>26</v>
      </c>
      <c r="N245" s="343">
        <f>SUM(N240:N244)</f>
        <v>3987225.17</v>
      </c>
      <c r="O245" s="151">
        <f>SUM(O240:O244)</f>
        <v>2749357.18</v>
      </c>
      <c r="P245" s="398">
        <f>SUM(P240:P243)</f>
        <v>618126.43999999994</v>
      </c>
      <c r="Q245" s="398"/>
      <c r="R245" s="653">
        <f>SUM(R240:R243)</f>
        <v>619741.54999999993</v>
      </c>
      <c r="S245" s="399"/>
      <c r="T245" s="399">
        <f>SUM(T240:T244)</f>
        <v>3468106.38</v>
      </c>
      <c r="U245" s="399">
        <f>SUM(U240:U244)</f>
        <v>3264287.6473333333</v>
      </c>
    </row>
    <row r="246" spans="1:24" ht="57" customHeight="1" x14ac:dyDescent="0.25">
      <c r="A246" s="828"/>
      <c r="B246" s="817" t="s">
        <v>115</v>
      </c>
      <c r="C246" s="815" t="s">
        <v>75</v>
      </c>
      <c r="D246" s="19" t="s">
        <v>24</v>
      </c>
      <c r="E246" s="613">
        <f>566-9-187</f>
        <v>370</v>
      </c>
      <c r="F246" s="703">
        <f>566-9</f>
        <v>557</v>
      </c>
      <c r="G246" s="705">
        <f>((E246*8)+(F246*4))/12</f>
        <v>432.33333333333331</v>
      </c>
      <c r="H246" s="778">
        <f>566-9-125</f>
        <v>432</v>
      </c>
      <c r="I246" s="778">
        <f>566-9-125</f>
        <v>432</v>
      </c>
      <c r="J246" s="151">
        <f>K246</f>
        <v>5752.01</v>
      </c>
      <c r="K246" s="151">
        <v>5752.01</v>
      </c>
      <c r="L246" s="151" t="s">
        <v>26</v>
      </c>
      <c r="M246" s="151" t="s">
        <v>26</v>
      </c>
      <c r="N246" s="398">
        <f>SUM(O246:R246)</f>
        <v>2486785.6566666667</v>
      </c>
      <c r="O246" s="151">
        <f>K246*G246</f>
        <v>2486785.6566666667</v>
      </c>
      <c r="P246" s="398" t="s">
        <v>26</v>
      </c>
      <c r="Q246" s="398"/>
      <c r="R246" s="151" t="s">
        <v>26</v>
      </c>
      <c r="S246" s="399"/>
      <c r="T246" s="150">
        <f>H246*K246</f>
        <v>2484868.3200000003</v>
      </c>
      <c r="U246" s="150">
        <f>I246*K246</f>
        <v>2484868.3200000003</v>
      </c>
      <c r="X246" s="25"/>
    </row>
    <row r="247" spans="1:24" ht="46.95" customHeight="1" x14ac:dyDescent="0.25">
      <c r="A247" s="828"/>
      <c r="B247" s="818"/>
      <c r="C247" s="816"/>
      <c r="D247" s="436" t="s">
        <v>235</v>
      </c>
      <c r="E247" s="617">
        <v>65196</v>
      </c>
      <c r="F247" s="710">
        <v>65196</v>
      </c>
      <c r="G247" s="714">
        <v>61337</v>
      </c>
      <c r="H247" s="714">
        <v>53604</v>
      </c>
      <c r="I247" s="714">
        <v>53604</v>
      </c>
      <c r="J247" s="397">
        <f>K247</f>
        <v>40.542994549238905</v>
      </c>
      <c r="K247" s="397">
        <f>N247/G247</f>
        <v>40.542994549238905</v>
      </c>
      <c r="L247" s="397" t="s">
        <v>26</v>
      </c>
      <c r="M247" s="397" t="s">
        <v>26</v>
      </c>
      <c r="N247" s="396">
        <f>N246</f>
        <v>2486785.6566666667</v>
      </c>
      <c r="O247" s="396">
        <f>O246</f>
        <v>2486785.6566666667</v>
      </c>
      <c r="P247" s="396" t="s">
        <v>26</v>
      </c>
      <c r="Q247" s="396"/>
      <c r="R247" s="397" t="s">
        <v>26</v>
      </c>
      <c r="S247" s="396"/>
      <c r="T247" s="397">
        <f>T246/G247*H247</f>
        <v>2171591.0694243279</v>
      </c>
      <c r="U247" s="397">
        <f>U246/G247*I247</f>
        <v>2171591.0694243279</v>
      </c>
      <c r="X247" s="25"/>
    </row>
    <row r="248" spans="1:24" x14ac:dyDescent="0.25">
      <c r="A248" s="828"/>
      <c r="B248" s="393"/>
      <c r="C248" s="404" t="s">
        <v>38</v>
      </c>
      <c r="D248" s="412"/>
      <c r="E248" s="6">
        <f>SUM(E246:E246)</f>
        <v>370</v>
      </c>
      <c r="F248" s="613">
        <f>SUM(F246:F246)</f>
        <v>557</v>
      </c>
      <c r="G248" s="613">
        <f>SUM(G246:G246)</f>
        <v>432.33333333333331</v>
      </c>
      <c r="H248" s="447">
        <f>SUM(H246:H246)</f>
        <v>432</v>
      </c>
      <c r="I248" s="447">
        <f>SUM(I246:I246)</f>
        <v>432</v>
      </c>
      <c r="J248" s="398" t="s">
        <v>26</v>
      </c>
      <c r="K248" s="398" t="s">
        <v>26</v>
      </c>
      <c r="L248" s="398" t="s">
        <v>26</v>
      </c>
      <c r="M248" s="151">
        <f t="shared" ref="M248:R248" si="92">SUM(M246:M246)</f>
        <v>0</v>
      </c>
      <c r="N248" s="416">
        <f t="shared" si="92"/>
        <v>2486785.6566666667</v>
      </c>
      <c r="O248" s="398">
        <f t="shared" si="92"/>
        <v>2486785.6566666667</v>
      </c>
      <c r="P248" s="398">
        <f t="shared" si="92"/>
        <v>0</v>
      </c>
      <c r="Q248" s="398"/>
      <c r="R248" s="151">
        <f t="shared" si="92"/>
        <v>0</v>
      </c>
      <c r="S248" s="399"/>
      <c r="T248" s="399">
        <f>N246</f>
        <v>2486785.6566666667</v>
      </c>
      <c r="U248" s="150">
        <f>T246</f>
        <v>2484868.3200000003</v>
      </c>
    </row>
    <row r="249" spans="1:24" x14ac:dyDescent="0.25">
      <c r="A249" s="828"/>
      <c r="B249" s="409" t="s">
        <v>43</v>
      </c>
      <c r="C249" s="403" t="s">
        <v>44</v>
      </c>
      <c r="D249" s="412"/>
      <c r="E249" s="6"/>
      <c r="F249" s="613"/>
      <c r="G249" s="613"/>
      <c r="H249" s="447"/>
      <c r="I249" s="447"/>
      <c r="J249" s="398"/>
      <c r="K249" s="398"/>
      <c r="L249" s="398"/>
      <c r="M249" s="151"/>
      <c r="N249" s="398">
        <f>P249</f>
        <v>0</v>
      </c>
      <c r="O249" s="398"/>
      <c r="P249" s="398"/>
      <c r="Q249" s="398"/>
      <c r="R249" s="151"/>
      <c r="S249" s="399"/>
      <c r="T249" s="399">
        <f>P249</f>
        <v>0</v>
      </c>
      <c r="U249" s="399">
        <f t="shared" ref="U249:U254" si="93">T249</f>
        <v>0</v>
      </c>
    </row>
    <row r="250" spans="1:24" x14ac:dyDescent="0.25">
      <c r="A250" s="828"/>
      <c r="B250" s="410" t="s">
        <v>53</v>
      </c>
      <c r="C250" s="384" t="s">
        <v>54</v>
      </c>
      <c r="D250" s="19" t="s">
        <v>24</v>
      </c>
      <c r="E250" s="6"/>
      <c r="F250" s="613"/>
      <c r="G250" s="613"/>
      <c r="H250" s="447"/>
      <c r="I250" s="447"/>
      <c r="J250" s="398"/>
      <c r="K250" s="398"/>
      <c r="L250" s="398"/>
      <c r="M250" s="151"/>
      <c r="N250" s="398">
        <f>S250</f>
        <v>0</v>
      </c>
      <c r="O250" s="398"/>
      <c r="P250" s="398"/>
      <c r="Q250" s="398"/>
      <c r="R250" s="151"/>
      <c r="S250" s="399"/>
      <c r="T250" s="399">
        <f>S250</f>
        <v>0</v>
      </c>
      <c r="U250" s="399">
        <f t="shared" si="93"/>
        <v>0</v>
      </c>
    </row>
    <row r="251" spans="1:24" hidden="1" x14ac:dyDescent="0.25">
      <c r="A251" s="828"/>
      <c r="B251" s="410" t="s">
        <v>53</v>
      </c>
      <c r="C251" s="384" t="s">
        <v>44</v>
      </c>
      <c r="D251" s="19" t="s">
        <v>24</v>
      </c>
      <c r="E251" s="6"/>
      <c r="F251" s="613"/>
      <c r="G251" s="613"/>
      <c r="H251" s="447"/>
      <c r="I251" s="447"/>
      <c r="J251" s="398"/>
      <c r="K251" s="398"/>
      <c r="L251" s="398"/>
      <c r="M251" s="151"/>
      <c r="N251" s="398">
        <f>Q251</f>
        <v>0</v>
      </c>
      <c r="O251" s="398"/>
      <c r="P251" s="398"/>
      <c r="Q251" s="398"/>
      <c r="R251" s="151"/>
      <c r="S251" s="399"/>
      <c r="T251" s="399"/>
      <c r="U251" s="399"/>
    </row>
    <row r="252" spans="1:24" hidden="1" x14ac:dyDescent="0.25">
      <c r="A252" s="828"/>
      <c r="B252" s="410" t="s">
        <v>55</v>
      </c>
      <c r="C252" s="384" t="s">
        <v>54</v>
      </c>
      <c r="D252" s="19"/>
      <c r="E252" s="6"/>
      <c r="F252" s="613"/>
      <c r="G252" s="613"/>
      <c r="H252" s="447"/>
      <c r="I252" s="447"/>
      <c r="J252" s="398"/>
      <c r="K252" s="398"/>
      <c r="L252" s="398"/>
      <c r="M252" s="151"/>
      <c r="N252" s="398">
        <f>S252</f>
        <v>0</v>
      </c>
      <c r="O252" s="398"/>
      <c r="P252" s="398"/>
      <c r="Q252" s="398"/>
      <c r="R252" s="151"/>
      <c r="S252" s="399"/>
      <c r="T252" s="399"/>
      <c r="U252" s="399"/>
    </row>
    <row r="253" spans="1:24" x14ac:dyDescent="0.25">
      <c r="A253" s="828"/>
      <c r="B253" s="410" t="s">
        <v>47</v>
      </c>
      <c r="C253" s="384" t="s">
        <v>44</v>
      </c>
      <c r="D253" s="19"/>
      <c r="E253" s="6">
        <v>13</v>
      </c>
      <c r="F253" s="613">
        <v>13</v>
      </c>
      <c r="G253" s="613">
        <v>13</v>
      </c>
      <c r="H253" s="447">
        <v>13</v>
      </c>
      <c r="I253" s="447">
        <v>13</v>
      </c>
      <c r="J253" s="398"/>
      <c r="K253" s="398"/>
      <c r="L253" s="398"/>
      <c r="M253" s="151"/>
      <c r="N253" s="398">
        <v>0</v>
      </c>
      <c r="O253" s="151">
        <f>O244+O238+O227</f>
        <v>3046680</v>
      </c>
      <c r="P253" s="398"/>
      <c r="Q253" s="398"/>
      <c r="R253" s="151"/>
      <c r="S253" s="399"/>
      <c r="T253" s="399">
        <v>1523340</v>
      </c>
      <c r="U253" s="399">
        <f>T253</f>
        <v>1523340</v>
      </c>
    </row>
    <row r="254" spans="1:24" ht="13.95" hidden="1" customHeight="1" x14ac:dyDescent="0.25">
      <c r="A254" s="828"/>
      <c r="B254" s="410" t="s">
        <v>48</v>
      </c>
      <c r="C254" s="384" t="s">
        <v>44</v>
      </c>
      <c r="D254" s="19"/>
      <c r="E254" s="6"/>
      <c r="F254" s="613"/>
      <c r="G254" s="613"/>
      <c r="H254" s="447"/>
      <c r="I254" s="447"/>
      <c r="J254" s="398"/>
      <c r="K254" s="398"/>
      <c r="L254" s="398"/>
      <c r="M254" s="151"/>
      <c r="N254" s="398">
        <f t="shared" ref="N254" si="94">O254</f>
        <v>0</v>
      </c>
      <c r="O254" s="398"/>
      <c r="P254" s="398">
        <f t="shared" ref="P254:P255" si="95">G254*L254</f>
        <v>0</v>
      </c>
      <c r="Q254" s="398"/>
      <c r="R254" s="151"/>
      <c r="S254" s="399"/>
      <c r="T254" s="399">
        <f>O254</f>
        <v>0</v>
      </c>
      <c r="U254" s="399">
        <f t="shared" si="93"/>
        <v>0</v>
      </c>
    </row>
    <row r="255" spans="1:24" ht="13.95" customHeight="1" x14ac:dyDescent="0.25">
      <c r="A255" s="828"/>
      <c r="B255" s="411" t="s">
        <v>45</v>
      </c>
      <c r="C255" s="384" t="s">
        <v>44</v>
      </c>
      <c r="D255" s="413" t="s">
        <v>46</v>
      </c>
      <c r="E255" s="6">
        <v>1</v>
      </c>
      <c r="F255" s="613">
        <v>1</v>
      </c>
      <c r="G255" s="11">
        <f t="shared" ref="G255" si="96">((E255*8)+(F255*4))/12</f>
        <v>1</v>
      </c>
      <c r="H255" s="447">
        <v>1</v>
      </c>
      <c r="I255" s="447">
        <v>1</v>
      </c>
      <c r="J255" s="398"/>
      <c r="K255" s="398"/>
      <c r="L255" s="398">
        <v>361494.96</v>
      </c>
      <c r="M255" s="151"/>
      <c r="N255" s="417">
        <f>P255</f>
        <v>361494.96</v>
      </c>
      <c r="O255" s="398"/>
      <c r="P255" s="398">
        <f t="shared" si="95"/>
        <v>361494.96</v>
      </c>
      <c r="Q255" s="398"/>
      <c r="R255" s="151"/>
      <c r="S255" s="399"/>
      <c r="T255" s="399"/>
      <c r="U255" s="399">
        <f>T255</f>
        <v>0</v>
      </c>
    </row>
    <row r="256" spans="1:24" ht="27.6" x14ac:dyDescent="0.25">
      <c r="A256" s="828"/>
      <c r="B256" s="411" t="s">
        <v>45</v>
      </c>
      <c r="C256" s="404" t="s">
        <v>44</v>
      </c>
      <c r="D256" s="413" t="s">
        <v>46</v>
      </c>
      <c r="E256" s="613">
        <v>6</v>
      </c>
      <c r="F256" s="613">
        <v>6</v>
      </c>
      <c r="G256" s="613">
        <v>6</v>
      </c>
      <c r="H256" s="613">
        <v>6</v>
      </c>
      <c r="I256" s="613">
        <v>6</v>
      </c>
      <c r="J256" s="398"/>
      <c r="K256" s="398"/>
      <c r="L256" s="398">
        <v>332298.84999999998</v>
      </c>
      <c r="M256" s="151"/>
      <c r="N256" s="417">
        <f>P256</f>
        <v>1993793.0999999999</v>
      </c>
      <c r="O256" s="398"/>
      <c r="P256" s="398">
        <f>G256*L256</f>
        <v>1993793.0999999999</v>
      </c>
      <c r="Q256" s="398"/>
      <c r="R256" s="151"/>
      <c r="S256" s="399"/>
      <c r="T256" s="399"/>
      <c r="U256" s="399"/>
    </row>
    <row r="257" spans="1:28" ht="23.4" customHeight="1" x14ac:dyDescent="0.25">
      <c r="A257" s="829"/>
      <c r="B257" s="410" t="s">
        <v>50</v>
      </c>
      <c r="C257" s="384"/>
      <c r="D257" s="384"/>
      <c r="E257" s="627">
        <f>204-E237</f>
        <v>202</v>
      </c>
      <c r="F257" s="721">
        <v>185</v>
      </c>
      <c r="G257" s="722">
        <v>195</v>
      </c>
      <c r="H257" s="769">
        <v>177</v>
      </c>
      <c r="I257" s="769">
        <v>176</v>
      </c>
      <c r="J257" s="391"/>
      <c r="K257" s="391"/>
      <c r="L257" s="391"/>
      <c r="M257" s="394"/>
      <c r="N257" s="391">
        <f>SUM(O257:S257)</f>
        <v>37560711.860333338</v>
      </c>
      <c r="O257" s="391">
        <f>O228+O239+O245+O248+O254</f>
        <v>21891478.700333335</v>
      </c>
      <c r="P257" s="391">
        <f>P228+P239+P245+P248+P249+P250+P251+P256+P255</f>
        <v>6373109.9199999999</v>
      </c>
      <c r="Q257" s="391">
        <f>Q228+Q239+Q245+Q248+Q249+Q250+Q251</f>
        <v>0</v>
      </c>
      <c r="R257" s="804">
        <f>R228+R239+R245+R248+R249+R250+R251+R252</f>
        <v>9296123.2400000021</v>
      </c>
      <c r="S257" s="400">
        <f>S228+S239+S245+S248+S249+S250+S251+S252</f>
        <v>0</v>
      </c>
      <c r="T257" s="400">
        <f>T228+T239+T245+T248+T249+T250+T251+T252+T254+T255</f>
        <v>31451955.500333328</v>
      </c>
      <c r="U257" s="400">
        <f>U228+U239+U245+U248+U249+U250+U251+U252+U254+U255</f>
        <v>30926539.837666668</v>
      </c>
      <c r="X257" s="25"/>
      <c r="AB257" s="25"/>
    </row>
    <row r="258" spans="1:28" ht="19.2" customHeight="1" x14ac:dyDescent="0.25">
      <c r="A258" s="34"/>
      <c r="B258" s="840" t="s">
        <v>76</v>
      </c>
      <c r="C258" s="841"/>
      <c r="D258" s="841"/>
      <c r="E258" s="841"/>
      <c r="F258" s="841"/>
      <c r="G258" s="841"/>
      <c r="H258" s="841"/>
      <c r="I258" s="841"/>
      <c r="J258" s="841"/>
      <c r="K258" s="841"/>
      <c r="L258" s="841"/>
      <c r="M258" s="842"/>
      <c r="N258" s="394">
        <f t="shared" ref="N258:U258" si="97">N257+N216+N172+N130+N90+N48</f>
        <v>414506332.45186669</v>
      </c>
      <c r="O258" s="394">
        <f t="shared" si="97"/>
        <v>261394218.81366664</v>
      </c>
      <c r="P258" s="394">
        <f t="shared" si="97"/>
        <v>70986610.598199993</v>
      </c>
      <c r="Q258" s="394">
        <f t="shared" si="97"/>
        <v>0</v>
      </c>
      <c r="R258" s="812">
        <f t="shared" si="97"/>
        <v>82125503.039999992</v>
      </c>
      <c r="S258" s="402">
        <f t="shared" si="97"/>
        <v>0</v>
      </c>
      <c r="T258" s="402">
        <f t="shared" si="97"/>
        <v>387318704.29033333</v>
      </c>
      <c r="U258" s="402">
        <f t="shared" si="97"/>
        <v>391626752.00766665</v>
      </c>
      <c r="Y258" s="386"/>
    </row>
    <row r="259" spans="1:28" x14ac:dyDescent="0.25">
      <c r="A259" s="1" t="s">
        <v>77</v>
      </c>
      <c r="T259" s="35"/>
      <c r="U259" s="35"/>
    </row>
    <row r="260" spans="1:28" x14ac:dyDescent="0.25">
      <c r="A260" s="1" t="s">
        <v>78</v>
      </c>
      <c r="O260" s="25"/>
      <c r="R260" s="25"/>
      <c r="T260" s="36"/>
    </row>
    <row r="261" spans="1:28" ht="13.95" hidden="1" customHeight="1" x14ac:dyDescent="0.25">
      <c r="O261" s="81">
        <f>O253+O213+O169+O127+O87+O45</f>
        <v>33044800</v>
      </c>
      <c r="T261" s="36"/>
      <c r="U261" s="36"/>
    </row>
    <row r="262" spans="1:28" x14ac:dyDescent="0.25">
      <c r="O262" s="25"/>
      <c r="R262" s="37">
        <f>R257-9296123.24</f>
        <v>0</v>
      </c>
      <c r="S262" s="36"/>
      <c r="V262" s="25"/>
      <c r="W262" s="25"/>
    </row>
    <row r="263" spans="1:28" x14ac:dyDescent="0.25">
      <c r="O263" s="25"/>
      <c r="P263" s="25"/>
      <c r="R263" s="25"/>
    </row>
    <row r="264" spans="1:28" x14ac:dyDescent="0.25">
      <c r="O264" s="25"/>
      <c r="P264" s="25"/>
      <c r="R264" s="25"/>
      <c r="T264" s="36"/>
    </row>
    <row r="265" spans="1:28" x14ac:dyDescent="0.25">
      <c r="O265" s="25"/>
      <c r="P265" s="25"/>
      <c r="R265" s="25"/>
    </row>
    <row r="266" spans="1:28" x14ac:dyDescent="0.25">
      <c r="O266" s="25"/>
      <c r="P266" s="25"/>
    </row>
    <row r="267" spans="1:28" x14ac:dyDescent="0.25">
      <c r="O267" s="25"/>
      <c r="P267" s="25"/>
    </row>
    <row r="268" spans="1:28" x14ac:dyDescent="0.25">
      <c r="O268" s="25"/>
      <c r="P268" s="25"/>
    </row>
    <row r="269" spans="1:28" x14ac:dyDescent="0.25">
      <c r="O269" s="25"/>
      <c r="P269" s="25"/>
    </row>
    <row r="270" spans="1:28" x14ac:dyDescent="0.25">
      <c r="I270" s="38"/>
      <c r="O270" s="25"/>
      <c r="P270" s="25"/>
    </row>
    <row r="271" spans="1:28" x14ac:dyDescent="0.25">
      <c r="O271" s="25"/>
      <c r="P271" s="25"/>
    </row>
    <row r="272" spans="1:28" x14ac:dyDescent="0.25">
      <c r="O272" s="25"/>
      <c r="P272" s="25"/>
    </row>
    <row r="273" spans="15:18" x14ac:dyDescent="0.25">
      <c r="O273" s="25"/>
      <c r="P273" s="25"/>
    </row>
    <row r="274" spans="15:18" x14ac:dyDescent="0.25">
      <c r="O274" s="25"/>
      <c r="P274" s="25"/>
    </row>
    <row r="275" spans="15:18" x14ac:dyDescent="0.25">
      <c r="O275" s="25"/>
      <c r="P275" s="25"/>
    </row>
    <row r="276" spans="15:18" x14ac:dyDescent="0.25">
      <c r="O276" s="25"/>
      <c r="P276" s="25"/>
    </row>
    <row r="277" spans="15:18" x14ac:dyDescent="0.25">
      <c r="R277" s="25"/>
    </row>
    <row r="278" spans="15:18" x14ac:dyDescent="0.25">
      <c r="R278" s="25"/>
    </row>
    <row r="279" spans="15:18" x14ac:dyDescent="0.25">
      <c r="O279" s="25"/>
      <c r="R279" s="25"/>
    </row>
    <row r="300" spans="15:17" x14ac:dyDescent="0.25">
      <c r="O300" s="25"/>
      <c r="P300" s="25"/>
      <c r="Q300" s="25"/>
    </row>
    <row r="301" spans="15:17" x14ac:dyDescent="0.25">
      <c r="O301" s="25"/>
      <c r="P301" s="25"/>
      <c r="Q301" s="25"/>
    </row>
    <row r="302" spans="15:17" x14ac:dyDescent="0.25">
      <c r="O302" s="25"/>
      <c r="P302" s="25"/>
      <c r="Q302" s="25"/>
    </row>
    <row r="305" spans="1:15" x14ac:dyDescent="0.25">
      <c r="O305" s="25"/>
    </row>
    <row r="307" spans="1:15" ht="13.95" hidden="1" customHeight="1" x14ac:dyDescent="0.25">
      <c r="H307" s="1">
        <v>2</v>
      </c>
    </row>
    <row r="308" spans="1:15" ht="13.95" hidden="1" customHeight="1" x14ac:dyDescent="0.25">
      <c r="D308" s="39">
        <v>286</v>
      </c>
      <c r="E308" s="40"/>
      <c r="F308" s="40"/>
      <c r="G308" s="40">
        <v>3</v>
      </c>
      <c r="H308" s="39">
        <v>244</v>
      </c>
      <c r="I308" s="39">
        <v>46</v>
      </c>
      <c r="J308" s="39">
        <v>69</v>
      </c>
      <c r="K308" s="39">
        <f>D308+G308+H308+I308+J308</f>
        <v>648</v>
      </c>
      <c r="L308" s="1" t="s">
        <v>79</v>
      </c>
      <c r="M308" s="1" t="s">
        <v>80</v>
      </c>
      <c r="N308" s="1" t="s">
        <v>81</v>
      </c>
    </row>
    <row r="309" spans="1:15" ht="27.6" hidden="1" customHeight="1" x14ac:dyDescent="0.25">
      <c r="A309" s="1" t="s">
        <v>82</v>
      </c>
      <c r="B309" s="24" t="s">
        <v>43</v>
      </c>
      <c r="C309" s="41">
        <v>118131</v>
      </c>
      <c r="D309" s="42"/>
      <c r="E309" s="43"/>
      <c r="F309" s="43"/>
      <c r="G309" s="43"/>
      <c r="H309" s="44"/>
      <c r="I309" s="44"/>
      <c r="J309" s="44"/>
      <c r="K309" s="44"/>
      <c r="L309" s="25">
        <f>(C309+C315)</f>
        <v>522719</v>
      </c>
      <c r="M309" s="25">
        <f>(C313+C314)</f>
        <v>1356154</v>
      </c>
      <c r="N309" s="25">
        <f>(C310+C312)</f>
        <v>3584396</v>
      </c>
      <c r="O309" s="25">
        <f>L309+M309+N309</f>
        <v>5463269</v>
      </c>
    </row>
    <row r="310" spans="1:15" ht="13.95" hidden="1" customHeight="1" x14ac:dyDescent="0.25">
      <c r="B310" s="28" t="s">
        <v>53</v>
      </c>
      <c r="C310" s="41">
        <v>3308494</v>
      </c>
      <c r="D310" s="42"/>
      <c r="E310" s="43"/>
      <c r="F310" s="43"/>
      <c r="G310" s="43"/>
      <c r="H310" s="44"/>
      <c r="I310" s="44"/>
      <c r="J310" s="44"/>
      <c r="K310" s="44"/>
      <c r="L310" s="25">
        <f>L309/K308</f>
        <v>806.66512345679007</v>
      </c>
      <c r="M310" s="25">
        <f>M309/K308</f>
        <v>2092.8302469135801</v>
      </c>
      <c r="N310" s="25">
        <f>N309/K308</f>
        <v>5531.4753086419751</v>
      </c>
    </row>
    <row r="311" spans="1:15" ht="13.95" hidden="1" customHeight="1" x14ac:dyDescent="0.25">
      <c r="B311" s="28" t="s">
        <v>53</v>
      </c>
      <c r="C311" s="41"/>
      <c r="D311" s="42"/>
      <c r="E311" s="43"/>
      <c r="F311" s="43"/>
      <c r="G311" s="43"/>
      <c r="H311" s="44"/>
      <c r="I311" s="44"/>
      <c r="J311" s="44"/>
      <c r="K311" s="44"/>
      <c r="L311" s="25"/>
    </row>
    <row r="312" spans="1:15" ht="13.95" hidden="1" customHeight="1" x14ac:dyDescent="0.25">
      <c r="B312" s="28" t="s">
        <v>55</v>
      </c>
      <c r="C312" s="41">
        <v>275902</v>
      </c>
      <c r="D312" s="42"/>
      <c r="E312" s="43"/>
      <c r="F312" s="43"/>
      <c r="G312" s="43"/>
      <c r="H312" s="44"/>
      <c r="I312" s="44"/>
      <c r="J312" s="44"/>
      <c r="K312" s="44"/>
      <c r="L312" s="25">
        <f>C309+691346</f>
        <v>809477</v>
      </c>
      <c r="M312" s="25">
        <f>C314+3249792</f>
        <v>3522682</v>
      </c>
      <c r="N312" s="25">
        <f>C310</f>
        <v>3308494</v>
      </c>
    </row>
    <row r="313" spans="1:15" ht="13.95" hidden="1" customHeight="1" x14ac:dyDescent="0.25">
      <c r="B313" s="28" t="s">
        <v>47</v>
      </c>
      <c r="C313" s="41">
        <v>1083264</v>
      </c>
      <c r="D313" s="44"/>
      <c r="E313" s="43"/>
      <c r="F313" s="43"/>
      <c r="G313" s="43"/>
      <c r="H313" s="44"/>
      <c r="I313" s="44"/>
      <c r="J313" s="44"/>
      <c r="K313" s="44"/>
      <c r="L313" s="25">
        <f>L312-L309</f>
        <v>286758</v>
      </c>
      <c r="M313" s="25">
        <f>M312-M309</f>
        <v>2166528</v>
      </c>
      <c r="N313" s="25">
        <f>N312-N309</f>
        <v>-275902</v>
      </c>
    </row>
    <row r="314" spans="1:15" ht="13.95" hidden="1" customHeight="1" x14ac:dyDescent="0.25">
      <c r="B314" s="28" t="s">
        <v>48</v>
      </c>
      <c r="C314" s="41">
        <v>272890</v>
      </c>
      <c r="D314" s="44"/>
      <c r="E314" s="43"/>
      <c r="F314" s="43"/>
      <c r="G314" s="43"/>
      <c r="H314" s="44"/>
      <c r="I314" s="44"/>
      <c r="J314" s="44"/>
      <c r="K314" s="44"/>
      <c r="L314" s="25">
        <f>L313/K308</f>
        <v>442.52777777777777</v>
      </c>
      <c r="M314" s="25">
        <f>M313/K308</f>
        <v>3343.4074074074074</v>
      </c>
      <c r="N314" s="25">
        <f>N313/K308</f>
        <v>-425.77469135802471</v>
      </c>
    </row>
    <row r="315" spans="1:15" ht="13.95" hidden="1" customHeight="1" x14ac:dyDescent="0.25">
      <c r="B315" s="28" t="s">
        <v>49</v>
      </c>
      <c r="C315" s="41">
        <v>404588</v>
      </c>
      <c r="D315" s="44"/>
      <c r="E315" s="43"/>
      <c r="F315" s="43"/>
      <c r="G315" s="43"/>
      <c r="H315" s="44"/>
      <c r="I315" s="44"/>
      <c r="J315" s="44"/>
      <c r="K315" s="44"/>
      <c r="L315" s="25">
        <f>D308*L314</f>
        <v>126562.94444444444</v>
      </c>
      <c r="M315" s="25">
        <f>D308*M314</f>
        <v>956214.51851851854</v>
      </c>
      <c r="N315" s="25">
        <f>D308*N314</f>
        <v>-121771.56172839507</v>
      </c>
      <c r="O315" s="25">
        <f t="shared" ref="O315:O320" si="98">L315+M315+N315</f>
        <v>961005.90123456786</v>
      </c>
    </row>
    <row r="316" spans="1:15" ht="13.95" hidden="1" customHeight="1" x14ac:dyDescent="0.25">
      <c r="B316" s="29" t="s">
        <v>50</v>
      </c>
      <c r="C316" s="41">
        <f>SUM(C309:C315)</f>
        <v>5463269</v>
      </c>
      <c r="D316" s="44"/>
      <c r="E316" s="43"/>
      <c r="F316" s="43"/>
      <c r="G316" s="43"/>
      <c r="H316" s="44"/>
      <c r="I316" s="44"/>
      <c r="J316" s="44"/>
      <c r="K316" s="44"/>
      <c r="L316" s="25">
        <f>G308*L314</f>
        <v>1327.5833333333333</v>
      </c>
      <c r="M316" s="25">
        <f>G308*M314</f>
        <v>10030.222222222223</v>
      </c>
      <c r="N316" s="25">
        <f>G308*N314</f>
        <v>-1277.3240740740741</v>
      </c>
      <c r="O316" s="25">
        <f t="shared" si="98"/>
        <v>10080.481481481482</v>
      </c>
    </row>
    <row r="317" spans="1:15" ht="13.95" hidden="1" customHeight="1" x14ac:dyDescent="0.25">
      <c r="L317" s="25">
        <f>242*L314</f>
        <v>107091.72222222222</v>
      </c>
      <c r="M317" s="25">
        <f>242*M314</f>
        <v>809104.59259259258</v>
      </c>
      <c r="N317" s="25">
        <f>242*N314</f>
        <v>-103037.47530864198</v>
      </c>
      <c r="O317" s="25">
        <f t="shared" si="98"/>
        <v>813158.83950617281</v>
      </c>
    </row>
    <row r="318" spans="1:15" ht="13.95" hidden="1" customHeight="1" x14ac:dyDescent="0.25">
      <c r="D318" s="45"/>
      <c r="L318" s="25">
        <f>2*L314</f>
        <v>885.05555555555554</v>
      </c>
      <c r="M318" s="25">
        <f>2*M314</f>
        <v>6686.8148148148148</v>
      </c>
      <c r="N318" s="25">
        <f>2*N314</f>
        <v>-851.54938271604942</v>
      </c>
      <c r="O318" s="25">
        <f t="shared" si="98"/>
        <v>6720.3209876543206</v>
      </c>
    </row>
    <row r="319" spans="1:15" ht="13.95" hidden="1" customHeight="1" x14ac:dyDescent="0.25">
      <c r="D319" s="46"/>
      <c r="L319" s="25">
        <f>I308*L314</f>
        <v>20356.277777777777</v>
      </c>
      <c r="M319" s="25">
        <f>I308*M314</f>
        <v>153796.74074074073</v>
      </c>
      <c r="N319" s="25">
        <f>I308*N314</f>
        <v>-19585.635802469136</v>
      </c>
      <c r="O319" s="25">
        <f t="shared" si="98"/>
        <v>154567.38271604938</v>
      </c>
    </row>
    <row r="320" spans="1:15" ht="13.95" hidden="1" customHeight="1" x14ac:dyDescent="0.25">
      <c r="D320" s="46"/>
      <c r="L320" s="25">
        <f>J308*L314</f>
        <v>30534.416666666668</v>
      </c>
      <c r="M320" s="25">
        <f>J308*M314</f>
        <v>230695.11111111112</v>
      </c>
      <c r="N320" s="25">
        <f>J308*N314</f>
        <v>-29378.453703703704</v>
      </c>
      <c r="O320" s="25">
        <f t="shared" si="98"/>
        <v>231851.07407407407</v>
      </c>
    </row>
    <row r="321" spans="1:15" ht="13.95" hidden="1" customHeight="1" x14ac:dyDescent="0.25">
      <c r="D321" s="46"/>
    </row>
    <row r="322" spans="1:15" ht="13.95" hidden="1" customHeight="1" x14ac:dyDescent="0.25">
      <c r="D322" s="46"/>
    </row>
    <row r="323" spans="1:15" ht="13.95" hidden="1" customHeight="1" x14ac:dyDescent="0.25">
      <c r="D323" s="46"/>
    </row>
    <row r="324" spans="1:15" ht="13.95" hidden="1" customHeight="1" x14ac:dyDescent="0.25">
      <c r="D324" s="39">
        <v>261</v>
      </c>
      <c r="E324" s="40"/>
      <c r="F324" s="40"/>
      <c r="G324" s="40">
        <v>2</v>
      </c>
      <c r="H324" s="39">
        <v>219</v>
      </c>
      <c r="I324" s="39">
        <v>2</v>
      </c>
      <c r="J324" s="39">
        <v>44</v>
      </c>
      <c r="K324" s="39">
        <f>D324+G324+H324+I324+J324</f>
        <v>528</v>
      </c>
      <c r="L324" s="1" t="s">
        <v>79</v>
      </c>
      <c r="M324" s="1" t="s">
        <v>80</v>
      </c>
      <c r="N324" s="1" t="s">
        <v>81</v>
      </c>
    </row>
    <row r="325" spans="1:15" ht="27.6" hidden="1" customHeight="1" x14ac:dyDescent="0.25">
      <c r="A325" s="1" t="s">
        <v>83</v>
      </c>
      <c r="B325" s="24" t="s">
        <v>43</v>
      </c>
      <c r="C325" s="41">
        <v>96255</v>
      </c>
      <c r="D325" s="42"/>
      <c r="E325" s="43"/>
      <c r="F325" s="43"/>
      <c r="G325" s="43"/>
      <c r="H325" s="44"/>
      <c r="I325" s="44"/>
      <c r="J325" s="44"/>
      <c r="K325" s="44"/>
      <c r="L325" s="25">
        <f>C325+C327+C331</f>
        <v>1031146</v>
      </c>
      <c r="M325" s="25">
        <f>C329+C330</f>
        <v>1027677</v>
      </c>
      <c r="N325" s="25">
        <f>C326+C328</f>
        <v>4122597</v>
      </c>
      <c r="O325" s="25">
        <f>L325+M325+N325</f>
        <v>6181420</v>
      </c>
    </row>
    <row r="326" spans="1:15" ht="13.95" hidden="1" customHeight="1" x14ac:dyDescent="0.25">
      <c r="B326" s="28" t="s">
        <v>53</v>
      </c>
      <c r="C326" s="41">
        <v>3813252</v>
      </c>
      <c r="D326" s="42"/>
      <c r="E326" s="43"/>
      <c r="F326" s="43"/>
      <c r="G326" s="43"/>
      <c r="H326" s="44"/>
      <c r="I326" s="44"/>
      <c r="J326" s="44"/>
      <c r="K326" s="44"/>
      <c r="L326" s="25">
        <f>L325/K324</f>
        <v>1952.9280303030303</v>
      </c>
      <c r="M326" s="25">
        <f>M325/K324</f>
        <v>1946.3579545454545</v>
      </c>
      <c r="N326" s="25">
        <f>N325/K324</f>
        <v>7807.948863636364</v>
      </c>
    </row>
    <row r="327" spans="1:15" ht="13.95" hidden="1" customHeight="1" x14ac:dyDescent="0.25">
      <c r="B327" s="28" t="s">
        <v>53</v>
      </c>
      <c r="C327" s="41">
        <v>606031</v>
      </c>
      <c r="D327" s="42"/>
      <c r="E327" s="43"/>
      <c r="F327" s="43"/>
      <c r="G327" s="43"/>
      <c r="H327" s="44"/>
      <c r="I327" s="44"/>
      <c r="J327" s="44"/>
      <c r="K327" s="44"/>
    </row>
    <row r="328" spans="1:15" ht="13.95" hidden="1" customHeight="1" x14ac:dyDescent="0.25">
      <c r="B328" s="28" t="s">
        <v>55</v>
      </c>
      <c r="C328" s="41">
        <v>309345</v>
      </c>
      <c r="D328" s="42"/>
      <c r="E328" s="43"/>
      <c r="F328" s="43"/>
      <c r="G328" s="43"/>
      <c r="H328" s="44"/>
      <c r="I328" s="44"/>
      <c r="J328" s="44"/>
      <c r="K328" s="44"/>
      <c r="L328" s="25">
        <f>C325+C327+563319</f>
        <v>1265605</v>
      </c>
      <c r="M328" s="25">
        <f>C330+2624832</f>
        <v>2777565</v>
      </c>
      <c r="N328" s="25">
        <f>C326</f>
        <v>3813252</v>
      </c>
    </row>
    <row r="329" spans="1:15" ht="13.95" hidden="1" customHeight="1" x14ac:dyDescent="0.25">
      <c r="B329" s="28" t="s">
        <v>47</v>
      </c>
      <c r="C329" s="41">
        <v>874944</v>
      </c>
      <c r="D329" s="44"/>
      <c r="E329" s="43"/>
      <c r="F329" s="43"/>
      <c r="G329" s="43"/>
      <c r="H329" s="44"/>
      <c r="I329" s="44"/>
      <c r="J329" s="44"/>
      <c r="K329" s="44"/>
      <c r="L329" s="25">
        <f>L328-L325</f>
        <v>234459</v>
      </c>
      <c r="M329" s="25">
        <f>M328-M325</f>
        <v>1749888</v>
      </c>
      <c r="N329" s="25">
        <f>N328-N325</f>
        <v>-309345</v>
      </c>
    </row>
    <row r="330" spans="1:15" ht="13.95" hidden="1" customHeight="1" x14ac:dyDescent="0.25">
      <c r="B330" s="28" t="s">
        <v>48</v>
      </c>
      <c r="C330" s="41">
        <v>152733</v>
      </c>
      <c r="D330" s="44"/>
      <c r="E330" s="43"/>
      <c r="F330" s="43"/>
      <c r="G330" s="43"/>
      <c r="H330" s="44"/>
      <c r="I330" s="44"/>
      <c r="J330" s="44"/>
      <c r="K330" s="44"/>
      <c r="L330" s="47">
        <f>L329/K324</f>
        <v>444.05113636363637</v>
      </c>
      <c r="M330" s="47">
        <f>M329/K324</f>
        <v>3314.181818181818</v>
      </c>
      <c r="N330" s="47">
        <f>N329/K324</f>
        <v>-585.88068181818187</v>
      </c>
    </row>
    <row r="331" spans="1:15" ht="13.95" hidden="1" customHeight="1" x14ac:dyDescent="0.25">
      <c r="B331" s="28" t="s">
        <v>49</v>
      </c>
      <c r="C331" s="41">
        <v>328860</v>
      </c>
      <c r="D331" s="44"/>
      <c r="E331" s="43"/>
      <c r="F331" s="43"/>
      <c r="G331" s="43"/>
      <c r="H331" s="44"/>
      <c r="I331" s="44"/>
      <c r="J331" s="44"/>
      <c r="K331" s="44"/>
      <c r="L331" s="25">
        <f>D324*L330</f>
        <v>115897.34659090909</v>
      </c>
      <c r="M331" s="25">
        <f>M330*D324</f>
        <v>865001.45454545447</v>
      </c>
      <c r="N331" s="25">
        <f>D324*N330</f>
        <v>-152914.85795454547</v>
      </c>
      <c r="O331" s="25">
        <f>L331+M331+N331</f>
        <v>827983.94318181812</v>
      </c>
    </row>
    <row r="332" spans="1:15" ht="13.95" hidden="1" customHeight="1" x14ac:dyDescent="0.25">
      <c r="B332" s="29" t="s">
        <v>50</v>
      </c>
      <c r="C332" s="41">
        <f>SUM(C325:C331)</f>
        <v>6181420</v>
      </c>
      <c r="D332" s="44"/>
      <c r="E332" s="43"/>
      <c r="F332" s="43"/>
      <c r="G332" s="43"/>
      <c r="H332" s="44"/>
      <c r="I332" s="44"/>
      <c r="J332" s="44"/>
      <c r="K332" s="44"/>
      <c r="L332" s="25">
        <f>G324*L330</f>
        <v>888.10227272727275</v>
      </c>
      <c r="M332" s="25">
        <f>G324*M330</f>
        <v>6628.363636363636</v>
      </c>
      <c r="N332" s="25">
        <f>G324*N330</f>
        <v>-1171.7613636363637</v>
      </c>
      <c r="O332" s="25">
        <f>L332+M332+N332</f>
        <v>6344.704545454545</v>
      </c>
    </row>
    <row r="333" spans="1:15" ht="13.95" hidden="1" customHeight="1" x14ac:dyDescent="0.25">
      <c r="L333" s="25">
        <f>H324*L330</f>
        <v>97247.198863636368</v>
      </c>
      <c r="M333" s="25">
        <f>H324*M330</f>
        <v>725805.81818181812</v>
      </c>
      <c r="N333" s="25">
        <f>H324*N330</f>
        <v>-128307.86931818182</v>
      </c>
      <c r="O333" s="25">
        <f>L333+M333+N333</f>
        <v>694745.14772727271</v>
      </c>
    </row>
    <row r="334" spans="1:15" ht="13.95" hidden="1" customHeight="1" x14ac:dyDescent="0.25">
      <c r="L334" s="25">
        <f>I324*L330</f>
        <v>888.10227272727275</v>
      </c>
      <c r="M334" s="25">
        <f>I324*M330</f>
        <v>6628.363636363636</v>
      </c>
      <c r="N334" s="25">
        <f>I324*N330</f>
        <v>-1171.7613636363637</v>
      </c>
      <c r="O334" s="25">
        <f>L334+M334+N334</f>
        <v>6344.704545454545</v>
      </c>
    </row>
    <row r="335" spans="1:15" ht="13.95" hidden="1" customHeight="1" x14ac:dyDescent="0.25">
      <c r="L335" s="25">
        <f>J324*L330</f>
        <v>19538.25</v>
      </c>
      <c r="M335" s="25">
        <f>J324*M330</f>
        <v>145824</v>
      </c>
      <c r="N335" s="25">
        <f>J324*N330</f>
        <v>-25778.750000000004</v>
      </c>
      <c r="O335" s="25">
        <f>L335+M335+N335</f>
        <v>139583.5</v>
      </c>
    </row>
    <row r="336" spans="1:15" ht="13.95" hidden="1" customHeight="1" x14ac:dyDescent="0.25"/>
    <row r="337" spans="1:15" ht="13.95" hidden="1" customHeight="1" x14ac:dyDescent="0.25">
      <c r="D337" s="39">
        <v>242</v>
      </c>
      <c r="E337" s="40"/>
      <c r="F337" s="40"/>
      <c r="G337" s="40">
        <v>1</v>
      </c>
      <c r="H337" s="39">
        <v>224</v>
      </c>
      <c r="I337" s="39">
        <v>3</v>
      </c>
      <c r="J337" s="39">
        <v>69</v>
      </c>
      <c r="K337" s="39">
        <f>D337+G337+H337+I337+J337</f>
        <v>539</v>
      </c>
      <c r="L337" s="1" t="s">
        <v>79</v>
      </c>
      <c r="M337" s="1" t="s">
        <v>80</v>
      </c>
      <c r="N337" s="1" t="s">
        <v>81</v>
      </c>
    </row>
    <row r="338" spans="1:15" ht="27.6" hidden="1" customHeight="1" x14ac:dyDescent="0.25">
      <c r="A338" s="1" t="s">
        <v>84</v>
      </c>
      <c r="B338" s="24" t="s">
        <v>43</v>
      </c>
      <c r="C338" s="41">
        <v>98261</v>
      </c>
      <c r="D338" s="42"/>
      <c r="E338" s="43"/>
      <c r="F338" s="43"/>
      <c r="G338" s="43"/>
      <c r="H338" s="44"/>
      <c r="I338" s="44"/>
      <c r="J338" s="44"/>
      <c r="K338" s="44"/>
      <c r="L338" s="25">
        <f>C338+C340+C344</f>
        <v>598302</v>
      </c>
      <c r="M338" s="25">
        <f>C342</f>
        <v>874944</v>
      </c>
      <c r="N338" s="25">
        <f>C339+C341</f>
        <v>1479238</v>
      </c>
      <c r="O338" s="25">
        <f>L338+M338+N338</f>
        <v>2952484</v>
      </c>
    </row>
    <row r="339" spans="1:15" ht="13.95" hidden="1" customHeight="1" x14ac:dyDescent="0.25">
      <c r="B339" s="28" t="s">
        <v>53</v>
      </c>
      <c r="C339" s="41">
        <v>1362189</v>
      </c>
      <c r="D339" s="42"/>
      <c r="E339" s="43"/>
      <c r="F339" s="43"/>
      <c r="G339" s="43"/>
      <c r="H339" s="44"/>
      <c r="I339" s="44"/>
      <c r="J339" s="44"/>
      <c r="K339" s="44"/>
      <c r="L339" s="25">
        <f>L338/K337</f>
        <v>1110.0222634508348</v>
      </c>
      <c r="M339" s="25">
        <f>M338/K337</f>
        <v>1623.2727272727273</v>
      </c>
      <c r="N339" s="25">
        <f>N338/K337</f>
        <v>2744.4118738404454</v>
      </c>
    </row>
    <row r="340" spans="1:15" ht="13.95" hidden="1" customHeight="1" x14ac:dyDescent="0.25">
      <c r="B340" s="28" t="s">
        <v>53</v>
      </c>
      <c r="C340" s="41">
        <v>164828</v>
      </c>
      <c r="D340" s="42"/>
      <c r="E340" s="43"/>
      <c r="F340" s="43"/>
      <c r="G340" s="43"/>
      <c r="H340" s="44"/>
      <c r="I340" s="44"/>
      <c r="J340" s="44"/>
      <c r="K340" s="44"/>
    </row>
    <row r="341" spans="1:15" ht="13.95" hidden="1" customHeight="1" x14ac:dyDescent="0.25">
      <c r="B341" s="28" t="s">
        <v>55</v>
      </c>
      <c r="C341" s="41">
        <v>117049</v>
      </c>
      <c r="D341" s="42"/>
      <c r="E341" s="43"/>
      <c r="F341" s="43"/>
      <c r="G341" s="43"/>
      <c r="H341" s="44"/>
      <c r="I341" s="44"/>
      <c r="J341" s="44"/>
      <c r="K341" s="44"/>
      <c r="L341" s="25">
        <f>C338+C340+575056</f>
        <v>838145</v>
      </c>
      <c r="M341" s="25">
        <f>2624832</f>
        <v>2624832</v>
      </c>
      <c r="N341" s="25">
        <f>C339</f>
        <v>1362189</v>
      </c>
    </row>
    <row r="342" spans="1:15" ht="13.95" hidden="1" customHeight="1" x14ac:dyDescent="0.25">
      <c r="B342" s="28" t="s">
        <v>47</v>
      </c>
      <c r="C342" s="41">
        <v>874944</v>
      </c>
      <c r="D342" s="44"/>
      <c r="E342" s="43"/>
      <c r="F342" s="43"/>
      <c r="G342" s="43"/>
      <c r="H342" s="44"/>
      <c r="I342" s="44"/>
      <c r="J342" s="44"/>
      <c r="K342" s="44"/>
      <c r="L342" s="25">
        <f>L341-L338</f>
        <v>239843</v>
      </c>
      <c r="M342" s="25">
        <f>M341-M338</f>
        <v>1749888</v>
      </c>
      <c r="N342" s="25">
        <f>N341-N338</f>
        <v>-117049</v>
      </c>
    </row>
    <row r="343" spans="1:15" ht="13.95" hidden="1" customHeight="1" x14ac:dyDescent="0.25">
      <c r="B343" s="28" t="s">
        <v>48</v>
      </c>
      <c r="C343" s="41">
        <v>0</v>
      </c>
      <c r="D343" s="44"/>
      <c r="E343" s="43"/>
      <c r="F343" s="43"/>
      <c r="G343" s="43"/>
      <c r="H343" s="44"/>
      <c r="I343" s="44"/>
      <c r="J343" s="44"/>
      <c r="K343" s="44"/>
      <c r="L343" s="25">
        <f>L342/K337</f>
        <v>444.97773654916512</v>
      </c>
      <c r="M343" s="25">
        <f>M342/K337</f>
        <v>3246.5454545454545</v>
      </c>
      <c r="N343" s="25">
        <f>N342/K337</f>
        <v>-217.1595547309833</v>
      </c>
    </row>
    <row r="344" spans="1:15" ht="13.95" hidden="1" customHeight="1" x14ac:dyDescent="0.25">
      <c r="B344" s="28" t="s">
        <v>49</v>
      </c>
      <c r="C344" s="41">
        <v>335213</v>
      </c>
      <c r="D344" s="44"/>
      <c r="E344" s="43"/>
      <c r="F344" s="43"/>
      <c r="G344" s="43"/>
      <c r="H344" s="44"/>
      <c r="I344" s="44"/>
      <c r="J344" s="44"/>
      <c r="K344" s="44"/>
      <c r="L344" s="25">
        <f>D337*L343</f>
        <v>107684.61224489796</v>
      </c>
      <c r="M344" s="25">
        <f>D337*M343</f>
        <v>785664</v>
      </c>
      <c r="N344" s="25">
        <f>D337*N343</f>
        <v>-52552.612244897959</v>
      </c>
      <c r="O344" s="25">
        <f>L344+M344+N344</f>
        <v>840796</v>
      </c>
    </row>
    <row r="345" spans="1:15" ht="13.95" hidden="1" customHeight="1" x14ac:dyDescent="0.25">
      <c r="B345" s="29" t="s">
        <v>50</v>
      </c>
      <c r="C345" s="41">
        <f>SUM(C338:C344)</f>
        <v>2952484</v>
      </c>
      <c r="D345" s="44"/>
      <c r="E345" s="43"/>
      <c r="F345" s="43"/>
      <c r="G345" s="43"/>
      <c r="H345" s="44"/>
      <c r="I345" s="44"/>
      <c r="J345" s="44"/>
      <c r="K345" s="44"/>
      <c r="L345" s="25">
        <f>G337*L343</f>
        <v>444.97773654916512</v>
      </c>
      <c r="M345" s="25">
        <f>G337*M343</f>
        <v>3246.5454545454545</v>
      </c>
      <c r="N345" s="25">
        <f>G337*N343</f>
        <v>-217.1595547309833</v>
      </c>
      <c r="O345" s="25">
        <f>L345+M345+N345</f>
        <v>3474.363636363636</v>
      </c>
    </row>
    <row r="346" spans="1:15" ht="13.95" hidden="1" customHeight="1" x14ac:dyDescent="0.25">
      <c r="L346" s="25">
        <f>H337*L343</f>
        <v>99675.012987012989</v>
      </c>
      <c r="M346" s="25">
        <f>H337*M343</f>
        <v>727226.18181818177</v>
      </c>
      <c r="N346" s="25">
        <f>H337*N343</f>
        <v>-48643.740259740262</v>
      </c>
      <c r="O346" s="25">
        <f>L346+M346+N346</f>
        <v>778257.45454545447</v>
      </c>
    </row>
    <row r="347" spans="1:15" ht="13.95" hidden="1" customHeight="1" x14ac:dyDescent="0.25">
      <c r="L347" s="25">
        <f>I337*L343</f>
        <v>1334.9332096474955</v>
      </c>
      <c r="M347" s="25">
        <f>I337*M343</f>
        <v>9739.636363636364</v>
      </c>
      <c r="N347" s="25">
        <f>I337*N343</f>
        <v>-651.47866419294996</v>
      </c>
      <c r="O347" s="25">
        <f>L347+M347+N347</f>
        <v>10423.09090909091</v>
      </c>
    </row>
    <row r="348" spans="1:15" ht="13.95" hidden="1" customHeight="1" x14ac:dyDescent="0.25">
      <c r="L348" s="25">
        <f>J337*L343</f>
        <v>30703.463821892394</v>
      </c>
      <c r="M348" s="25">
        <f>J337*M343</f>
        <v>224011.63636363635</v>
      </c>
      <c r="N348" s="25">
        <f>J337*N343</f>
        <v>-14984.009276437848</v>
      </c>
      <c r="O348" s="25">
        <f>L348+M348+N348</f>
        <v>239731.09090909091</v>
      </c>
    </row>
    <row r="349" spans="1:15" ht="13.95" hidden="1" customHeight="1" x14ac:dyDescent="0.25"/>
    <row r="350" spans="1:15" ht="13.95" hidden="1" customHeight="1" x14ac:dyDescent="0.25">
      <c r="D350" s="39">
        <v>206</v>
      </c>
      <c r="E350" s="40"/>
      <c r="F350" s="40"/>
      <c r="G350" s="40">
        <v>5</v>
      </c>
      <c r="H350" s="39">
        <v>238</v>
      </c>
      <c r="I350" s="39">
        <v>1</v>
      </c>
      <c r="J350" s="39">
        <v>33</v>
      </c>
      <c r="K350" s="39">
        <f>D350+G350+H350+I350+J350</f>
        <v>483</v>
      </c>
      <c r="L350" s="1" t="s">
        <v>79</v>
      </c>
      <c r="M350" s="1" t="s">
        <v>80</v>
      </c>
      <c r="N350" s="1" t="s">
        <v>81</v>
      </c>
    </row>
    <row r="351" spans="1:15" ht="27.6" hidden="1" customHeight="1" x14ac:dyDescent="0.25">
      <c r="A351" s="1" t="s">
        <v>85</v>
      </c>
      <c r="B351" s="24" t="s">
        <v>43</v>
      </c>
      <c r="C351" s="41">
        <v>88052</v>
      </c>
      <c r="D351" s="42"/>
      <c r="E351" s="43"/>
      <c r="F351" s="43"/>
      <c r="G351" s="43"/>
      <c r="H351" s="44"/>
      <c r="I351" s="44"/>
      <c r="J351" s="44"/>
      <c r="K351" s="44"/>
      <c r="L351" s="25">
        <f>C351+C357</f>
        <v>388924</v>
      </c>
      <c r="M351" s="25">
        <f>C355+C356</f>
        <v>1185246</v>
      </c>
      <c r="N351" s="25">
        <f>C352+C354</f>
        <v>2227002</v>
      </c>
      <c r="O351" s="25">
        <f>L351+M351+N351</f>
        <v>3801172</v>
      </c>
    </row>
    <row r="352" spans="1:15" ht="13.95" hidden="1" customHeight="1" x14ac:dyDescent="0.25">
      <c r="B352" s="28" t="s">
        <v>53</v>
      </c>
      <c r="C352" s="41">
        <v>2026333</v>
      </c>
      <c r="D352" s="42"/>
      <c r="E352" s="43"/>
      <c r="F352" s="43"/>
      <c r="G352" s="43"/>
      <c r="H352" s="44"/>
      <c r="I352" s="44"/>
      <c r="J352" s="44"/>
      <c r="K352" s="44"/>
      <c r="L352" s="25">
        <f>L351/K350</f>
        <v>805.22567287784682</v>
      </c>
      <c r="M352" s="25">
        <f>M351/K350</f>
        <v>2453.9254658385094</v>
      </c>
      <c r="N352" s="25">
        <f>N351/K350</f>
        <v>4610.7701863354041</v>
      </c>
    </row>
    <row r="353" spans="1:17" ht="13.95" hidden="1" customHeight="1" x14ac:dyDescent="0.25">
      <c r="B353" s="28" t="s">
        <v>53</v>
      </c>
      <c r="C353" s="41">
        <v>0</v>
      </c>
      <c r="D353" s="42"/>
      <c r="E353" s="43"/>
      <c r="F353" s="43"/>
      <c r="G353" s="43"/>
      <c r="H353" s="44"/>
      <c r="I353" s="44"/>
      <c r="J353" s="44"/>
      <c r="K353" s="44"/>
    </row>
    <row r="354" spans="1:17" ht="13.95" hidden="1" customHeight="1" x14ac:dyDescent="0.25">
      <c r="B354" s="28" t="s">
        <v>55</v>
      </c>
      <c r="C354" s="41">
        <v>200669</v>
      </c>
      <c r="D354" s="42"/>
      <c r="E354" s="43"/>
      <c r="F354" s="43"/>
      <c r="G354" s="43"/>
      <c r="H354" s="44"/>
      <c r="I354" s="44"/>
      <c r="J354" s="44"/>
      <c r="K354" s="44"/>
      <c r="L354" s="25">
        <f>C351+515309</f>
        <v>603361</v>
      </c>
      <c r="M354" s="25">
        <f>C356+2499840</f>
        <v>2851806</v>
      </c>
      <c r="N354" s="25">
        <f>C352</f>
        <v>2026333</v>
      </c>
    </row>
    <row r="355" spans="1:17" ht="13.95" hidden="1" customHeight="1" x14ac:dyDescent="0.25">
      <c r="B355" s="28" t="s">
        <v>47</v>
      </c>
      <c r="C355" s="41">
        <v>833280</v>
      </c>
      <c r="D355" s="44"/>
      <c r="E355" s="43"/>
      <c r="F355" s="43"/>
      <c r="G355" s="43"/>
      <c r="H355" s="44"/>
      <c r="I355" s="44"/>
      <c r="J355" s="44"/>
      <c r="K355" s="44"/>
      <c r="L355" s="25">
        <f>L354-L351</f>
        <v>214437</v>
      </c>
      <c r="M355" s="25">
        <f>M354-M351</f>
        <v>1666560</v>
      </c>
      <c r="N355" s="25">
        <f>N354-N351</f>
        <v>-200669</v>
      </c>
    </row>
    <row r="356" spans="1:17" ht="13.95" hidden="1" customHeight="1" x14ac:dyDescent="0.25">
      <c r="B356" s="28" t="s">
        <v>48</v>
      </c>
      <c r="C356" s="41">
        <v>351966</v>
      </c>
      <c r="D356" s="44"/>
      <c r="E356" s="43"/>
      <c r="F356" s="43"/>
      <c r="G356" s="43"/>
      <c r="H356" s="44"/>
      <c r="I356" s="44"/>
      <c r="J356" s="44"/>
      <c r="K356" s="44"/>
      <c r="L356" s="25">
        <f>L355/K350</f>
        <v>443.96894409937886</v>
      </c>
      <c r="M356" s="25">
        <f>M355/K350</f>
        <v>3450.4347826086955</v>
      </c>
      <c r="N356" s="25">
        <f>N355/K350</f>
        <v>-415.463768115942</v>
      </c>
    </row>
    <row r="357" spans="1:17" ht="13.95" hidden="1" customHeight="1" x14ac:dyDescent="0.25">
      <c r="B357" s="28" t="s">
        <v>49</v>
      </c>
      <c r="C357" s="41">
        <v>300872</v>
      </c>
      <c r="D357" s="44"/>
      <c r="E357" s="43"/>
      <c r="F357" s="43"/>
      <c r="G357" s="43"/>
      <c r="H357" s="44"/>
      <c r="I357" s="44"/>
      <c r="J357" s="44"/>
      <c r="K357" s="44"/>
      <c r="L357" s="25">
        <f>D350*L356</f>
        <v>91457.602484472038</v>
      </c>
      <c r="M357" s="25">
        <f>M356*D350</f>
        <v>710789.56521739124</v>
      </c>
      <c r="N357" s="25">
        <f>D350*N356</f>
        <v>-85585.536231884049</v>
      </c>
      <c r="O357" s="25">
        <f>L357+M357+N357</f>
        <v>716661.63146997918</v>
      </c>
    </row>
    <row r="358" spans="1:17" ht="13.95" hidden="1" customHeight="1" x14ac:dyDescent="0.25">
      <c r="B358" s="29" t="s">
        <v>50</v>
      </c>
      <c r="C358" s="41">
        <f>SUM(C351:C357)</f>
        <v>3801172</v>
      </c>
      <c r="D358" s="44"/>
      <c r="E358" s="43"/>
      <c r="F358" s="43"/>
      <c r="G358" s="43"/>
      <c r="H358" s="44"/>
      <c r="I358" s="44"/>
      <c r="J358" s="44"/>
      <c r="K358" s="44"/>
      <c r="L358" s="25">
        <f>G350*L356</f>
        <v>2219.8447204968943</v>
      </c>
      <c r="M358" s="25">
        <f>G350*M356</f>
        <v>17252.173913043476</v>
      </c>
      <c r="N358" s="25">
        <f>G350*N356</f>
        <v>-2077.31884057971</v>
      </c>
      <c r="O358" s="25">
        <f>L358+M358+N358</f>
        <v>17394.699792960659</v>
      </c>
    </row>
    <row r="359" spans="1:17" ht="13.95" hidden="1" customHeight="1" x14ac:dyDescent="0.25">
      <c r="L359" s="25">
        <f>H350*L356</f>
        <v>105664.60869565216</v>
      </c>
      <c r="M359" s="25">
        <f>H350*M356</f>
        <v>821203.47826086951</v>
      </c>
      <c r="N359" s="25">
        <f>H350*N356</f>
        <v>-98880.376811594193</v>
      </c>
      <c r="O359" s="25">
        <f>L359+M359+N359</f>
        <v>827987.71014492749</v>
      </c>
    </row>
    <row r="360" spans="1:17" ht="13.95" hidden="1" customHeight="1" x14ac:dyDescent="0.25">
      <c r="L360" s="25">
        <f>I350*L356</f>
        <v>443.96894409937886</v>
      </c>
      <c r="M360" s="25">
        <f>I350*M356</f>
        <v>3450.4347826086955</v>
      </c>
      <c r="N360" s="25">
        <f>I350*N356</f>
        <v>-415.463768115942</v>
      </c>
      <c r="O360" s="25">
        <f>L360+M360+N360</f>
        <v>3478.9399585921324</v>
      </c>
    </row>
    <row r="361" spans="1:17" ht="13.95" hidden="1" customHeight="1" x14ac:dyDescent="0.25">
      <c r="L361" s="25">
        <f>J350*L356</f>
        <v>14650.975155279502</v>
      </c>
      <c r="M361" s="25">
        <f>J350*M356</f>
        <v>113864.34782608695</v>
      </c>
      <c r="N361" s="25">
        <f>J350*N356</f>
        <v>-13710.304347826086</v>
      </c>
      <c r="O361" s="25">
        <f>L361+M361+N361</f>
        <v>114805.01863354037</v>
      </c>
    </row>
    <row r="362" spans="1:17" ht="13.95" hidden="1" customHeight="1" x14ac:dyDescent="0.25">
      <c r="N362" s="1" t="s">
        <v>79</v>
      </c>
      <c r="O362" s="1" t="s">
        <v>80</v>
      </c>
      <c r="P362" s="1" t="s">
        <v>81</v>
      </c>
    </row>
    <row r="363" spans="1:17" ht="13.95" hidden="1" customHeight="1" x14ac:dyDescent="0.25">
      <c r="D363" s="39">
        <v>316</v>
      </c>
      <c r="E363" s="40"/>
      <c r="F363" s="40"/>
      <c r="G363" s="40">
        <v>2</v>
      </c>
      <c r="H363" s="39">
        <v>196</v>
      </c>
      <c r="I363" s="39">
        <v>206</v>
      </c>
      <c r="J363" s="39">
        <v>1</v>
      </c>
      <c r="K363" s="39">
        <v>51</v>
      </c>
      <c r="L363" s="39">
        <v>53</v>
      </c>
      <c r="M363" s="39">
        <f>D363+G363+H363+I363+J363+K363+L363</f>
        <v>825</v>
      </c>
    </row>
    <row r="364" spans="1:17" ht="27.6" hidden="1" customHeight="1" x14ac:dyDescent="0.25">
      <c r="A364" s="1" t="s">
        <v>86</v>
      </c>
      <c r="B364" s="24" t="s">
        <v>43</v>
      </c>
      <c r="C364" s="26">
        <v>150399</v>
      </c>
      <c r="D364" s="42"/>
      <c r="E364" s="43"/>
      <c r="F364" s="43"/>
      <c r="G364" s="43"/>
      <c r="H364" s="44"/>
      <c r="I364" s="44"/>
      <c r="J364" s="44"/>
      <c r="K364" s="39"/>
      <c r="L364" s="39"/>
      <c r="M364" s="39"/>
      <c r="N364" s="25">
        <f>C364+C370</f>
        <v>662764</v>
      </c>
      <c r="O364" s="25">
        <f>C368+C369</f>
        <v>1800175</v>
      </c>
      <c r="P364" s="25">
        <f>C365+C367</f>
        <v>182500</v>
      </c>
      <c r="Q364" s="25">
        <f>N364+O364+P364</f>
        <v>2645439</v>
      </c>
    </row>
    <row r="365" spans="1:17" ht="13.95" hidden="1" customHeight="1" x14ac:dyDescent="0.25">
      <c r="B365" s="28" t="s">
        <v>53</v>
      </c>
      <c r="C365" s="26">
        <v>179700</v>
      </c>
      <c r="D365" s="42"/>
      <c r="E365" s="43"/>
      <c r="F365" s="43"/>
      <c r="G365" s="43"/>
      <c r="H365" s="44"/>
      <c r="I365" s="44"/>
      <c r="J365" s="44"/>
      <c r="K365" s="39"/>
      <c r="L365" s="39"/>
      <c r="M365" s="39"/>
      <c r="N365" s="25">
        <f>N364/M363</f>
        <v>803.35030303030305</v>
      </c>
      <c r="O365" s="25">
        <f>O364/M363</f>
        <v>2182.030303030303</v>
      </c>
      <c r="P365" s="25">
        <f>P364/M363</f>
        <v>221.21212121212122</v>
      </c>
    </row>
    <row r="366" spans="1:17" ht="13.95" hidden="1" customHeight="1" x14ac:dyDescent="0.25">
      <c r="B366" s="28" t="s">
        <v>53</v>
      </c>
      <c r="C366" s="26">
        <v>0</v>
      </c>
      <c r="D366" s="42"/>
      <c r="E366" s="43"/>
      <c r="F366" s="43"/>
      <c r="G366" s="43"/>
      <c r="H366" s="44"/>
      <c r="I366" s="44"/>
      <c r="J366" s="44"/>
      <c r="K366" s="39"/>
      <c r="L366" s="39"/>
      <c r="M366" s="39"/>
    </row>
    <row r="367" spans="1:17" ht="13.95" hidden="1" customHeight="1" x14ac:dyDescent="0.25">
      <c r="B367" s="28" t="s">
        <v>55</v>
      </c>
      <c r="C367" s="26">
        <v>2800</v>
      </c>
      <c r="D367" s="42"/>
      <c r="E367" s="43"/>
      <c r="F367" s="43"/>
      <c r="G367" s="43"/>
      <c r="H367" s="44"/>
      <c r="I367" s="44"/>
      <c r="J367" s="44"/>
      <c r="K367" s="39"/>
      <c r="L367" s="39"/>
      <c r="M367" s="39"/>
      <c r="N367" s="25">
        <f>C364+880187</f>
        <v>1030586</v>
      </c>
      <c r="O367" s="25">
        <f>C369+3874752</f>
        <v>4383343</v>
      </c>
      <c r="P367" s="25">
        <f>C365</f>
        <v>179700</v>
      </c>
    </row>
    <row r="368" spans="1:17" ht="13.95" hidden="1" customHeight="1" x14ac:dyDescent="0.25">
      <c r="B368" s="28" t="s">
        <v>47</v>
      </c>
      <c r="C368" s="26">
        <v>1291584</v>
      </c>
      <c r="D368" s="44"/>
      <c r="E368" s="43"/>
      <c r="F368" s="43"/>
      <c r="G368" s="43"/>
      <c r="H368" s="44"/>
      <c r="I368" s="44"/>
      <c r="J368" s="44"/>
      <c r="K368" s="39"/>
      <c r="L368" s="39"/>
      <c r="M368" s="39"/>
      <c r="N368" s="25">
        <f>N367-N364</f>
        <v>367822</v>
      </c>
      <c r="O368" s="25">
        <f>O367-O364</f>
        <v>2583168</v>
      </c>
      <c r="P368" s="25">
        <f>P367-P364</f>
        <v>-2800</v>
      </c>
    </row>
    <row r="369" spans="1:17" ht="13.95" hidden="1" customHeight="1" x14ac:dyDescent="0.25">
      <c r="B369" s="28" t="s">
        <v>48</v>
      </c>
      <c r="C369" s="26">
        <v>508591</v>
      </c>
      <c r="D369" s="44"/>
      <c r="E369" s="43"/>
      <c r="F369" s="43"/>
      <c r="G369" s="43"/>
      <c r="H369" s="44"/>
      <c r="I369" s="44"/>
      <c r="J369" s="44"/>
      <c r="K369" s="39"/>
      <c r="L369" s="39"/>
      <c r="M369" s="39"/>
      <c r="N369" s="25">
        <f>N368/M363</f>
        <v>445.84484848484851</v>
      </c>
      <c r="O369" s="25">
        <f>O368/M363</f>
        <v>3131.1127272727272</v>
      </c>
      <c r="P369" s="25">
        <f>P368/M363</f>
        <v>-3.393939393939394</v>
      </c>
    </row>
    <row r="370" spans="1:17" ht="13.95" hidden="1" customHeight="1" x14ac:dyDescent="0.25">
      <c r="B370" s="28" t="s">
        <v>49</v>
      </c>
      <c r="C370" s="26">
        <v>512365</v>
      </c>
      <c r="D370" s="44"/>
      <c r="E370" s="43"/>
      <c r="F370" s="43"/>
      <c r="G370" s="43"/>
      <c r="H370" s="44"/>
      <c r="I370" s="44"/>
      <c r="J370" s="44"/>
      <c r="K370" s="39"/>
      <c r="L370" s="39"/>
      <c r="M370" s="39"/>
      <c r="N370" s="25">
        <f>D363*N369</f>
        <v>140886.97212121214</v>
      </c>
      <c r="O370" s="25">
        <f>D363*O369</f>
        <v>989431.62181818183</v>
      </c>
      <c r="P370" s="25">
        <f>D363*P369</f>
        <v>-1072.4848484848485</v>
      </c>
      <c r="Q370" s="25">
        <f>N370+O370+P370</f>
        <v>1129246.1090909091</v>
      </c>
    </row>
    <row r="371" spans="1:17" ht="13.95" hidden="1" customHeight="1" x14ac:dyDescent="0.25">
      <c r="B371" s="29" t="s">
        <v>50</v>
      </c>
      <c r="C371" s="41">
        <f>SUM(C364:C370)</f>
        <v>2645439</v>
      </c>
      <c r="D371" s="44"/>
      <c r="E371" s="43"/>
      <c r="F371" s="43"/>
      <c r="G371" s="43"/>
      <c r="H371" s="44"/>
      <c r="I371" s="44"/>
      <c r="J371" s="44"/>
      <c r="K371" s="39"/>
      <c r="L371" s="39"/>
      <c r="M371" s="39"/>
      <c r="N371" s="25">
        <f>G363*N369</f>
        <v>891.68969696969702</v>
      </c>
      <c r="O371" s="25">
        <f>G363*O369</f>
        <v>6262.2254545454543</v>
      </c>
      <c r="P371" s="25">
        <f>G363*P369</f>
        <v>-6.7878787878787881</v>
      </c>
      <c r="Q371" s="25">
        <f t="shared" ref="Q371:Q376" si="99">N371+O371+P371</f>
        <v>7147.1272727272726</v>
      </c>
    </row>
    <row r="372" spans="1:17" ht="13.95" hidden="1" customHeight="1" x14ac:dyDescent="0.25">
      <c r="N372" s="25">
        <f>H363*N369</f>
        <v>87385.590303030302</v>
      </c>
      <c r="O372" s="25">
        <f>H363*O369</f>
        <v>613698.09454545449</v>
      </c>
      <c r="P372" s="25">
        <f>H363*P369</f>
        <v>-665.21212121212125</v>
      </c>
      <c r="Q372" s="25">
        <f t="shared" si="99"/>
        <v>700418.47272727266</v>
      </c>
    </row>
    <row r="373" spans="1:17" ht="13.95" hidden="1" customHeight="1" x14ac:dyDescent="0.25">
      <c r="N373" s="25">
        <f>I363*N369</f>
        <v>91844.038787878788</v>
      </c>
      <c r="O373" s="25">
        <f>I363*O369</f>
        <v>645009.2218181818</v>
      </c>
      <c r="P373" s="25">
        <f>I363*P369</f>
        <v>-699.15151515151513</v>
      </c>
      <c r="Q373" s="25">
        <f t="shared" si="99"/>
        <v>736154.10909090913</v>
      </c>
    </row>
    <row r="374" spans="1:17" ht="13.95" hidden="1" customHeight="1" x14ac:dyDescent="0.25">
      <c r="N374" s="25">
        <f>J363*N369</f>
        <v>445.84484848484851</v>
      </c>
      <c r="O374" s="25">
        <f>J363*O369</f>
        <v>3131.1127272727272</v>
      </c>
      <c r="P374" s="25">
        <f>J363*P369</f>
        <v>-3.393939393939394</v>
      </c>
      <c r="Q374" s="25">
        <f t="shared" si="99"/>
        <v>3573.5636363636363</v>
      </c>
    </row>
    <row r="375" spans="1:17" ht="13.95" hidden="1" customHeight="1" x14ac:dyDescent="0.25">
      <c r="N375" s="25">
        <f>K363*N369</f>
        <v>22738.087272727273</v>
      </c>
      <c r="O375" s="25">
        <f>K363*O369</f>
        <v>159686.74909090908</v>
      </c>
      <c r="P375" s="25">
        <f>K363*P369</f>
        <v>-173.09090909090909</v>
      </c>
      <c r="Q375" s="25">
        <f t="shared" si="99"/>
        <v>182251.74545454545</v>
      </c>
    </row>
    <row r="376" spans="1:17" ht="13.95" hidden="1" customHeight="1" x14ac:dyDescent="0.25">
      <c r="N376" s="25">
        <f>L363*N369</f>
        <v>23629.77696969697</v>
      </c>
      <c r="O376" s="25">
        <f>L363*O369</f>
        <v>165948.97454545455</v>
      </c>
      <c r="P376" s="25">
        <f>L363*P369</f>
        <v>-179.87878787878788</v>
      </c>
      <c r="Q376" s="25">
        <f t="shared" si="99"/>
        <v>189398.87272727274</v>
      </c>
    </row>
    <row r="377" spans="1:17" ht="13.95" hidden="1" customHeight="1" x14ac:dyDescent="0.25">
      <c r="M377" s="1" t="s">
        <v>79</v>
      </c>
      <c r="N377" s="1" t="s">
        <v>80</v>
      </c>
      <c r="O377" s="1" t="s">
        <v>81</v>
      </c>
    </row>
    <row r="378" spans="1:17" ht="13.95" hidden="1" customHeight="1" x14ac:dyDescent="0.25">
      <c r="D378" s="39">
        <v>67</v>
      </c>
      <c r="E378" s="40"/>
      <c r="F378" s="40"/>
      <c r="G378" s="40">
        <v>17</v>
      </c>
      <c r="H378" s="39">
        <v>1</v>
      </c>
      <c r="I378" s="39">
        <v>72</v>
      </c>
      <c r="J378" s="39">
        <v>44</v>
      </c>
      <c r="K378" s="39">
        <v>17</v>
      </c>
      <c r="L378" s="39">
        <f>D378+G378+H378+I378+J378+K378</f>
        <v>218</v>
      </c>
    </row>
    <row r="379" spans="1:17" ht="27.6" hidden="1" customHeight="1" x14ac:dyDescent="0.25">
      <c r="A379" s="1" t="s">
        <v>87</v>
      </c>
      <c r="B379" s="24" t="s">
        <v>43</v>
      </c>
      <c r="C379" s="41">
        <v>39742</v>
      </c>
      <c r="D379" s="42"/>
      <c r="E379" s="43"/>
      <c r="F379" s="43"/>
      <c r="G379" s="43"/>
      <c r="H379" s="44"/>
      <c r="I379" s="44"/>
      <c r="J379" s="44"/>
      <c r="K379" s="44"/>
      <c r="L379" s="44"/>
      <c r="M379" s="25">
        <f>C379+C381+C385</f>
        <v>195953</v>
      </c>
      <c r="N379" s="25">
        <f>C383+C384</f>
        <v>542463</v>
      </c>
      <c r="O379" s="25">
        <f>C380+C382</f>
        <v>2064267</v>
      </c>
      <c r="P379" s="25">
        <f>M379+N379+O379</f>
        <v>2802683</v>
      </c>
    </row>
    <row r="380" spans="1:17" ht="13.95" hidden="1" customHeight="1" x14ac:dyDescent="0.25">
      <c r="B380" s="28" t="s">
        <v>53</v>
      </c>
      <c r="C380" s="41">
        <v>1880332</v>
      </c>
      <c r="D380" s="42"/>
      <c r="E380" s="43"/>
      <c r="F380" s="43"/>
      <c r="G380" s="43"/>
      <c r="H380" s="44"/>
      <c r="I380" s="44"/>
      <c r="J380" s="44"/>
      <c r="K380" s="44"/>
      <c r="L380" s="39"/>
      <c r="M380" s="25">
        <f>M379/L378</f>
        <v>898.86697247706422</v>
      </c>
      <c r="N380" s="25">
        <f>N379/L378</f>
        <v>2488.3623853211011</v>
      </c>
      <c r="O380" s="25">
        <f>O379/L378</f>
        <v>9469.1146788990827</v>
      </c>
    </row>
    <row r="381" spans="1:17" ht="13.95" hidden="1" customHeight="1" x14ac:dyDescent="0.25">
      <c r="B381" s="28" t="s">
        <v>53</v>
      </c>
      <c r="C381" s="41">
        <v>21109</v>
      </c>
      <c r="D381" s="42"/>
      <c r="E381" s="43"/>
      <c r="F381" s="43"/>
      <c r="G381" s="43"/>
      <c r="H381" s="44"/>
      <c r="I381" s="44"/>
      <c r="J381" s="44"/>
      <c r="K381" s="44"/>
      <c r="L381" s="39"/>
    </row>
    <row r="382" spans="1:17" ht="13.95" hidden="1" customHeight="1" x14ac:dyDescent="0.25">
      <c r="B382" s="28" t="s">
        <v>55</v>
      </c>
      <c r="C382" s="41">
        <v>183935</v>
      </c>
      <c r="D382" s="42"/>
      <c r="E382" s="43"/>
      <c r="F382" s="43"/>
      <c r="G382" s="43"/>
      <c r="H382" s="44"/>
      <c r="I382" s="44"/>
      <c r="J382" s="44"/>
      <c r="K382" s="44"/>
      <c r="L382" s="39"/>
      <c r="M382" s="25">
        <f>C379+232583</f>
        <v>272325</v>
      </c>
      <c r="N382" s="25">
        <f>C384+1499904</f>
        <v>1542399</v>
      </c>
      <c r="O382" s="25">
        <f>C380</f>
        <v>1880332</v>
      </c>
    </row>
    <row r="383" spans="1:17" ht="13.95" hidden="1" customHeight="1" x14ac:dyDescent="0.25">
      <c r="B383" s="28" t="s">
        <v>47</v>
      </c>
      <c r="C383" s="41">
        <v>499968</v>
      </c>
      <c r="D383" s="44"/>
      <c r="E383" s="43"/>
      <c r="F383" s="43"/>
      <c r="G383" s="43"/>
      <c r="H383" s="44"/>
      <c r="I383" s="44"/>
      <c r="J383" s="44"/>
      <c r="K383" s="44"/>
      <c r="L383" s="39"/>
      <c r="M383" s="25">
        <f>M382-M379</f>
        <v>76372</v>
      </c>
      <c r="N383" s="25">
        <f>N382-N379</f>
        <v>999936</v>
      </c>
      <c r="O383" s="25">
        <f>O382-O379</f>
        <v>-183935</v>
      </c>
    </row>
    <row r="384" spans="1:17" ht="13.95" hidden="1" customHeight="1" x14ac:dyDescent="0.25">
      <c r="B384" s="28" t="s">
        <v>48</v>
      </c>
      <c r="C384" s="41">
        <v>42495</v>
      </c>
      <c r="D384" s="44"/>
      <c r="E384" s="43"/>
      <c r="F384" s="43"/>
      <c r="G384" s="43"/>
      <c r="H384" s="44"/>
      <c r="I384" s="44"/>
      <c r="J384" s="44"/>
      <c r="K384" s="44"/>
      <c r="L384" s="39"/>
      <c r="M384" s="25">
        <f>M383/L378</f>
        <v>350.33027522935782</v>
      </c>
      <c r="N384" s="25">
        <f>N383/L378</f>
        <v>4586.8623853211011</v>
      </c>
      <c r="O384" s="25">
        <f>O383/L378</f>
        <v>-843.7385321100918</v>
      </c>
    </row>
    <row r="385" spans="2:16" ht="13.95" hidden="1" customHeight="1" x14ac:dyDescent="0.25">
      <c r="B385" s="28" t="s">
        <v>49</v>
      </c>
      <c r="C385" s="41">
        <v>135102</v>
      </c>
      <c r="D385" s="44"/>
      <c r="E385" s="43"/>
      <c r="F385" s="43"/>
      <c r="G385" s="43"/>
      <c r="H385" s="44"/>
      <c r="I385" s="44"/>
      <c r="J385" s="44"/>
      <c r="K385" s="44"/>
      <c r="L385" s="39"/>
      <c r="M385" s="25">
        <f>D378*M384</f>
        <v>23472.128440366974</v>
      </c>
      <c r="N385" s="25">
        <f>D378*N384</f>
        <v>307319.77981651376</v>
      </c>
      <c r="O385" s="25">
        <f>D378*O384</f>
        <v>-56530.481651376147</v>
      </c>
      <c r="P385" s="25">
        <f t="shared" ref="P385:P390" si="100">M385+N385+O385</f>
        <v>274261.42660550459</v>
      </c>
    </row>
    <row r="386" spans="2:16" ht="13.95" hidden="1" customHeight="1" x14ac:dyDescent="0.25">
      <c r="B386" s="29" t="s">
        <v>50</v>
      </c>
      <c r="C386" s="41">
        <f>SUM(C379:C385)</f>
        <v>2802683</v>
      </c>
      <c r="D386" s="44"/>
      <c r="E386" s="43"/>
      <c r="F386" s="43"/>
      <c r="G386" s="43"/>
      <c r="H386" s="44"/>
      <c r="I386" s="44"/>
      <c r="J386" s="44"/>
      <c r="K386" s="44"/>
      <c r="L386" s="39"/>
      <c r="M386" s="25">
        <f>G378*M384</f>
        <v>5955.6146788990827</v>
      </c>
      <c r="N386" s="25">
        <f>G378*N384</f>
        <v>77976.660550458721</v>
      </c>
      <c r="O386" s="25">
        <f>G378*O384</f>
        <v>-14343.555045871561</v>
      </c>
      <c r="P386" s="25">
        <f t="shared" si="100"/>
        <v>69588.72018348625</v>
      </c>
    </row>
    <row r="387" spans="2:16" ht="13.95" hidden="1" customHeight="1" x14ac:dyDescent="0.25">
      <c r="M387" s="25">
        <f>H378*M384</f>
        <v>350.33027522935782</v>
      </c>
      <c r="N387" s="25">
        <f>H378*N384</f>
        <v>4586.8623853211011</v>
      </c>
      <c r="O387" s="25">
        <f>H378*O384</f>
        <v>-843.7385321100918</v>
      </c>
      <c r="P387" s="25">
        <f t="shared" si="100"/>
        <v>4093.4541284403667</v>
      </c>
    </row>
    <row r="388" spans="2:16" ht="13.95" hidden="1" customHeight="1" x14ac:dyDescent="0.25">
      <c r="M388" s="25">
        <f>I378*M384</f>
        <v>25223.779816513765</v>
      </c>
      <c r="N388" s="25">
        <f>I378*N384</f>
        <v>330254.09174311929</v>
      </c>
      <c r="O388" s="25">
        <f>I378*O384</f>
        <v>-60749.17431192661</v>
      </c>
      <c r="P388" s="25">
        <f t="shared" si="100"/>
        <v>294728.69724770647</v>
      </c>
    </row>
    <row r="389" spans="2:16" ht="13.95" hidden="1" customHeight="1" x14ac:dyDescent="0.25">
      <c r="M389" s="25">
        <f>J378*M384</f>
        <v>15414.532110091744</v>
      </c>
      <c r="N389" s="25">
        <f>J378*N384</f>
        <v>201821.94495412844</v>
      </c>
      <c r="O389" s="25">
        <f>J378*O384</f>
        <v>-37124.495412844037</v>
      </c>
      <c r="P389" s="25">
        <f t="shared" si="100"/>
        <v>180111.98165137615</v>
      </c>
    </row>
    <row r="390" spans="2:16" ht="13.95" hidden="1" customHeight="1" x14ac:dyDescent="0.25">
      <c r="M390" s="25">
        <f>K378*M384</f>
        <v>5955.6146788990827</v>
      </c>
      <c r="N390" s="25">
        <f>K378*N384</f>
        <v>77976.660550458721</v>
      </c>
      <c r="O390" s="25">
        <f>K378*O384</f>
        <v>-14343.555045871561</v>
      </c>
      <c r="P390" s="25">
        <f t="shared" si="100"/>
        <v>69588.72018348625</v>
      </c>
    </row>
    <row r="391" spans="2:16" ht="13.95" hidden="1" customHeight="1" x14ac:dyDescent="0.25"/>
    <row r="392" spans="2:16" ht="13.95" hidden="1" customHeight="1" x14ac:dyDescent="0.25"/>
    <row r="393" spans="2:16" ht="13.95" hidden="1" customHeight="1" x14ac:dyDescent="0.25"/>
    <row r="394" spans="2:16" ht="13.95" hidden="1" customHeight="1" x14ac:dyDescent="0.25"/>
  </sheetData>
  <mergeCells count="44">
    <mergeCell ref="B258:M258"/>
    <mergeCell ref="A173:A216"/>
    <mergeCell ref="B173:B185"/>
    <mergeCell ref="B186:B196"/>
    <mergeCell ref="B197:B204"/>
    <mergeCell ref="A217:A257"/>
    <mergeCell ref="B217:B228"/>
    <mergeCell ref="B229:B231"/>
    <mergeCell ref="C246:C247"/>
    <mergeCell ref="B246:B247"/>
    <mergeCell ref="B205:B207"/>
    <mergeCell ref="C205:C206"/>
    <mergeCell ref="A91:A130"/>
    <mergeCell ref="B91:B101"/>
    <mergeCell ref="B102:B109"/>
    <mergeCell ref="B112:B117"/>
    <mergeCell ref="A131:A172"/>
    <mergeCell ref="B131:B143"/>
    <mergeCell ref="B144:B152"/>
    <mergeCell ref="B155:B158"/>
    <mergeCell ref="A49:A90"/>
    <mergeCell ref="B49:B61"/>
    <mergeCell ref="B62:B71"/>
    <mergeCell ref="B74:B77"/>
    <mergeCell ref="B38:B39"/>
    <mergeCell ref="C38:C39"/>
    <mergeCell ref="A4:U4"/>
    <mergeCell ref="A5:C5"/>
    <mergeCell ref="A6:A7"/>
    <mergeCell ref="B6:B7"/>
    <mergeCell ref="D6:D7"/>
    <mergeCell ref="E6:I6"/>
    <mergeCell ref="J6:M6"/>
    <mergeCell ref="N6:U6"/>
    <mergeCell ref="A9:A48"/>
    <mergeCell ref="B9:B21"/>
    <mergeCell ref="B22:B28"/>
    <mergeCell ref="B31:B35"/>
    <mergeCell ref="C80:C81"/>
    <mergeCell ref="B80:B81"/>
    <mergeCell ref="B120:B121"/>
    <mergeCell ref="C120:C121"/>
    <mergeCell ref="C161:C162"/>
    <mergeCell ref="B161:B162"/>
  </mergeCells>
  <pageMargins left="0" right="0" top="0.19685039370078741" bottom="0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O22"/>
  <sheetViews>
    <sheetView topLeftCell="G13" zoomScale="80" zoomScaleNormal="80" workbookViewId="0">
      <selection activeCell="X18" sqref="X18"/>
    </sheetView>
  </sheetViews>
  <sheetFormatPr defaultColWidth="8.88671875" defaultRowHeight="13.8" x14ac:dyDescent="0.25"/>
  <cols>
    <col min="1" max="1" width="25" style="48" customWidth="1"/>
    <col min="2" max="2" width="15.109375" style="48" customWidth="1"/>
    <col min="3" max="3" width="15.33203125" style="48" customWidth="1"/>
    <col min="4" max="4" width="15.5546875" style="48" customWidth="1"/>
    <col min="5" max="5" width="15.6640625" style="48" customWidth="1"/>
    <col min="6" max="6" width="11.6640625" style="48" hidden="1" customWidth="1"/>
    <col min="7" max="7" width="16.33203125" style="48" customWidth="1"/>
    <col min="8" max="10" width="14.88671875" style="48" customWidth="1"/>
    <col min="11" max="12" width="15.6640625" style="48" customWidth="1"/>
    <col min="13" max="13" width="16.33203125" style="48" customWidth="1"/>
    <col min="14" max="14" width="8.6640625" style="48" hidden="1" customWidth="1"/>
    <col min="15" max="15" width="8" style="49" customWidth="1"/>
    <col min="16" max="16" width="8.6640625" style="49" customWidth="1"/>
    <col min="17" max="17" width="9.6640625" style="49" customWidth="1"/>
    <col min="18" max="19" width="8.33203125" style="49" customWidth="1"/>
    <col min="20" max="20" width="15.88671875" style="48" customWidth="1"/>
    <col min="21" max="21" width="14.109375" style="48" customWidth="1"/>
    <col min="22" max="22" width="15.88671875" style="48" customWidth="1"/>
    <col min="23" max="23" width="12.6640625" style="48" customWidth="1"/>
    <col min="24" max="24" width="15.109375" style="48" customWidth="1"/>
    <col min="25" max="25" width="16.109375" style="48" customWidth="1"/>
    <col min="26" max="26" width="16" style="48" customWidth="1"/>
    <col min="27" max="27" width="14.88671875" style="48" customWidth="1"/>
    <col min="28" max="28" width="14.6640625" style="48" customWidth="1"/>
    <col min="29" max="29" width="15.33203125" style="48" customWidth="1"/>
    <col min="30" max="30" width="17" style="48" customWidth="1"/>
    <col min="31" max="31" width="16.33203125" style="48" customWidth="1"/>
    <col min="32" max="32" width="15.6640625" style="48" hidden="1" customWidth="1"/>
    <col min="33" max="33" width="15.5546875" style="48" hidden="1" customWidth="1"/>
    <col min="34" max="34" width="15.5546875" style="48" customWidth="1"/>
    <col min="35" max="35" width="19.33203125" style="48" hidden="1" customWidth="1"/>
    <col min="36" max="36" width="6.33203125" style="48" customWidth="1"/>
    <col min="37" max="37" width="12.33203125" style="48" hidden="1" customWidth="1"/>
    <col min="38" max="38" width="10.88671875" style="48" customWidth="1"/>
    <col min="39" max="39" width="11.33203125" style="48" customWidth="1"/>
    <col min="40" max="40" width="3.6640625" style="48" customWidth="1"/>
    <col min="41" max="41" width="15.6640625" style="48" hidden="1" customWidth="1"/>
    <col min="42" max="16384" width="8.88671875" style="48"/>
  </cols>
  <sheetData>
    <row r="2" spans="1:41" ht="13.95" customHeight="1" x14ac:dyDescent="0.25">
      <c r="X2" s="844" t="s">
        <v>88</v>
      </c>
      <c r="Y2" s="844"/>
      <c r="Z2" s="349"/>
      <c r="AA2" s="349"/>
      <c r="AB2" s="349"/>
      <c r="AC2" s="349"/>
      <c r="AD2" s="346"/>
      <c r="AE2" s="346"/>
      <c r="AF2" s="346"/>
    </row>
    <row r="3" spans="1:41" ht="14.4" customHeight="1" x14ac:dyDescent="0.25">
      <c r="X3" s="845" t="s">
        <v>630</v>
      </c>
      <c r="Y3" s="845"/>
      <c r="Z3" s="350"/>
      <c r="AA3" s="350"/>
      <c r="AB3" s="350"/>
      <c r="AC3" s="350"/>
      <c r="AD3" s="347"/>
      <c r="AE3" s="347"/>
    </row>
    <row r="4" spans="1:41" x14ac:dyDescent="0.25">
      <c r="AH4" s="50"/>
    </row>
    <row r="5" spans="1:41" ht="18" customHeight="1" x14ac:dyDescent="0.35">
      <c r="A5" s="854" t="s">
        <v>593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356"/>
      <c r="N5" s="356"/>
      <c r="O5" s="356"/>
      <c r="P5" s="356"/>
      <c r="Q5" s="356"/>
      <c r="R5" s="356"/>
      <c r="S5" s="368"/>
      <c r="T5" s="51"/>
      <c r="U5" s="51"/>
      <c r="V5" s="51"/>
      <c r="W5" s="51"/>
    </row>
    <row r="6" spans="1:41" ht="15.6" x14ac:dyDescent="0.3">
      <c r="A6" s="82" t="s">
        <v>89</v>
      </c>
      <c r="B6" s="52"/>
      <c r="T6" s="53"/>
      <c r="U6" s="53"/>
      <c r="V6" s="54"/>
      <c r="W6" s="54"/>
      <c r="X6" s="53"/>
      <c r="Y6" s="53"/>
    </row>
    <row r="7" spans="1:41" ht="83.4" customHeight="1" x14ac:dyDescent="0.25">
      <c r="A7" s="855" t="s">
        <v>2</v>
      </c>
      <c r="B7" s="862" t="s">
        <v>594</v>
      </c>
      <c r="C7" s="863"/>
      <c r="D7" s="863"/>
      <c r="E7" s="863"/>
      <c r="F7" s="357"/>
      <c r="G7" s="857" t="s">
        <v>90</v>
      </c>
      <c r="H7" s="846" t="s">
        <v>91</v>
      </c>
      <c r="I7" s="847"/>
      <c r="J7" s="847"/>
      <c r="K7" s="847"/>
      <c r="L7" s="848"/>
      <c r="M7" s="348"/>
      <c r="N7" s="55"/>
      <c r="O7" s="859" t="s">
        <v>598</v>
      </c>
      <c r="P7" s="860"/>
      <c r="Q7" s="860"/>
      <c r="R7" s="861"/>
      <c r="S7" s="369"/>
      <c r="T7" s="849" t="s">
        <v>346</v>
      </c>
      <c r="U7" s="850"/>
      <c r="V7" s="850"/>
      <c r="W7" s="850"/>
      <c r="X7" s="850"/>
      <c r="Y7" s="851"/>
      <c r="Z7" s="846" t="s">
        <v>291</v>
      </c>
      <c r="AA7" s="847"/>
      <c r="AB7" s="847"/>
      <c r="AC7" s="848"/>
      <c r="AD7" s="56" t="s">
        <v>346</v>
      </c>
      <c r="AE7" s="56" t="s">
        <v>449</v>
      </c>
      <c r="AF7" s="351" t="s">
        <v>92</v>
      </c>
      <c r="AG7" s="352"/>
      <c r="AH7" s="56" t="s">
        <v>595</v>
      </c>
      <c r="AI7" s="353" t="s">
        <v>2</v>
      </c>
      <c r="AJ7" s="676"/>
    </row>
    <row r="8" spans="1:41" ht="153" customHeight="1" x14ac:dyDescent="0.25">
      <c r="A8" s="856"/>
      <c r="B8" s="57" t="s">
        <v>93</v>
      </c>
      <c r="C8" s="57" t="s">
        <v>94</v>
      </c>
      <c r="D8" s="57" t="s">
        <v>95</v>
      </c>
      <c r="E8" s="58" t="s">
        <v>96</v>
      </c>
      <c r="F8" s="58" t="s">
        <v>97</v>
      </c>
      <c r="G8" s="858"/>
      <c r="H8" s="56" t="s">
        <v>98</v>
      </c>
      <c r="I8" s="56" t="s">
        <v>99</v>
      </c>
      <c r="J8" s="56" t="s">
        <v>100</v>
      </c>
      <c r="K8" s="56" t="s">
        <v>16</v>
      </c>
      <c r="L8" s="59" t="s">
        <v>97</v>
      </c>
      <c r="M8" s="60" t="s">
        <v>9</v>
      </c>
      <c r="N8" s="61" t="s">
        <v>101</v>
      </c>
      <c r="O8" s="56" t="s">
        <v>102</v>
      </c>
      <c r="P8" s="59" t="s">
        <v>103</v>
      </c>
      <c r="Q8" s="56" t="s">
        <v>100</v>
      </c>
      <c r="R8" s="56" t="s">
        <v>16</v>
      </c>
      <c r="S8" s="63" t="s">
        <v>293</v>
      </c>
      <c r="T8" s="62" t="s">
        <v>104</v>
      </c>
      <c r="U8" s="59" t="s">
        <v>105</v>
      </c>
      <c r="V8" s="62" t="s">
        <v>100</v>
      </c>
      <c r="W8" s="62" t="s">
        <v>106</v>
      </c>
      <c r="X8" s="62" t="s">
        <v>16</v>
      </c>
      <c r="Y8" s="358" t="s">
        <v>107</v>
      </c>
      <c r="Z8" s="359" t="s">
        <v>93</v>
      </c>
      <c r="AA8" s="359" t="s">
        <v>94</v>
      </c>
      <c r="AB8" s="359" t="s">
        <v>95</v>
      </c>
      <c r="AC8" s="360" t="s">
        <v>96</v>
      </c>
      <c r="AD8" s="63" t="s">
        <v>107</v>
      </c>
      <c r="AE8" s="63" t="s">
        <v>107</v>
      </c>
      <c r="AF8" s="56" t="s">
        <v>100</v>
      </c>
      <c r="AG8" s="56" t="s">
        <v>16</v>
      </c>
      <c r="AH8" s="63" t="s">
        <v>107</v>
      </c>
      <c r="AI8" s="354"/>
      <c r="AJ8" s="676"/>
      <c r="AL8" s="453" t="s">
        <v>319</v>
      </c>
      <c r="AM8" s="309" t="s">
        <v>320</v>
      </c>
      <c r="AO8" s="640" t="s">
        <v>468</v>
      </c>
    </row>
    <row r="9" spans="1:41" ht="22.95" customHeight="1" x14ac:dyDescent="0.25">
      <c r="A9" s="64" t="s">
        <v>18</v>
      </c>
      <c r="B9" s="852" t="s">
        <v>18</v>
      </c>
      <c r="C9" s="853"/>
      <c r="D9" s="853"/>
      <c r="E9" s="853"/>
      <c r="F9" s="355"/>
      <c r="G9" s="56" t="s">
        <v>21</v>
      </c>
      <c r="H9" s="56" t="s">
        <v>21</v>
      </c>
      <c r="I9" s="56" t="s">
        <v>21</v>
      </c>
      <c r="J9" s="56" t="s">
        <v>21</v>
      </c>
      <c r="K9" s="56" t="s">
        <v>21</v>
      </c>
      <c r="L9" s="62" t="s">
        <v>21</v>
      </c>
      <c r="M9" s="56" t="s">
        <v>21</v>
      </c>
      <c r="N9" s="56" t="s">
        <v>21</v>
      </c>
      <c r="O9" s="348"/>
      <c r="P9" s="348"/>
      <c r="Q9" s="348"/>
      <c r="R9" s="348"/>
      <c r="S9" s="367"/>
      <c r="T9" s="62" t="s">
        <v>21</v>
      </c>
      <c r="U9" s="62" t="s">
        <v>21</v>
      </c>
      <c r="V9" s="62" t="s">
        <v>21</v>
      </c>
      <c r="W9" s="62" t="s">
        <v>21</v>
      </c>
      <c r="X9" s="62" t="s">
        <v>21</v>
      </c>
      <c r="Y9" s="62" t="s">
        <v>21</v>
      </c>
      <c r="Z9" s="361" t="s">
        <v>21</v>
      </c>
      <c r="AA9" s="361" t="s">
        <v>21</v>
      </c>
      <c r="AB9" s="361" t="s">
        <v>21</v>
      </c>
      <c r="AC9" s="361" t="s">
        <v>21</v>
      </c>
      <c r="AD9" s="56" t="s">
        <v>21</v>
      </c>
      <c r="AE9" s="56" t="s">
        <v>21</v>
      </c>
      <c r="AF9" s="56" t="s">
        <v>21</v>
      </c>
      <c r="AG9" s="56" t="s">
        <v>21</v>
      </c>
      <c r="AH9" s="56" t="s">
        <v>21</v>
      </c>
      <c r="AI9" s="64" t="s">
        <v>18</v>
      </c>
      <c r="AJ9" s="677"/>
      <c r="AM9" s="452"/>
      <c r="AO9" s="641"/>
    </row>
    <row r="10" spans="1:41" ht="42" customHeight="1" x14ac:dyDescent="0.25">
      <c r="A10" s="65" t="s">
        <v>108</v>
      </c>
      <c r="B10" s="66">
        <f>'прилож.3-школы'!$N$21+'прилож.3-школы'!$N$42+'прилож.3-школы'!P41</f>
        <v>38725434.359999992</v>
      </c>
      <c r="C10" s="66">
        <f>'прилож.3-школы'!$N$30</f>
        <v>36323691.916666672</v>
      </c>
      <c r="D10" s="66">
        <f>'прилож.3-школы'!$N$37</f>
        <v>7199808.2300000004</v>
      </c>
      <c r="E10" s="67">
        <f>'прилож.3-школы'!$N$40</f>
        <v>5990776.9133333322</v>
      </c>
      <c r="F10" s="68">
        <v>0</v>
      </c>
      <c r="G10" s="71">
        <f t="shared" ref="G10:G16" si="0">SUM(B10:F10)</f>
        <v>88239711.420000002</v>
      </c>
      <c r="H10" s="69">
        <f>'прилож.3-школы'!$O$48-'прилож.4-школы'!I10-'прилож.4-школы'!L10</f>
        <v>42465381.81666667</v>
      </c>
      <c r="I10" s="69">
        <f t="shared" ref="I10:I15" si="1">E10</f>
        <v>5990776.9133333322</v>
      </c>
      <c r="J10" s="69">
        <f>'прилож.3-школы'!$P$48</f>
        <v>15099646.120000001</v>
      </c>
      <c r="K10" s="67">
        <f>'прилож.3-школы'!$R$48</f>
        <v>17418746.57</v>
      </c>
      <c r="L10" s="67">
        <f>'прилож.3-школы'!$O$45</f>
        <v>7265160</v>
      </c>
      <c r="M10" s="71">
        <f>SUM(H10:L10)</f>
        <v>88239711.420000017</v>
      </c>
      <c r="N10" s="70"/>
      <c r="O10" s="67">
        <f t="shared" ref="O10:O16" si="2">T10/H10</f>
        <v>1.1516625285777042</v>
      </c>
      <c r="P10" s="67">
        <f>U10/E10</f>
        <v>1.1481579266774613</v>
      </c>
      <c r="Q10" s="67">
        <f t="shared" ref="Q10:Q16" si="3">V10/J10</f>
        <v>1.0843646844353991</v>
      </c>
      <c r="R10" s="68">
        <f>X10/K10</f>
        <v>0.97858694547847713</v>
      </c>
      <c r="S10" s="68">
        <f>(Y10-U10)/(G10-E10)</f>
        <v>1.0009256714848647</v>
      </c>
      <c r="T10" s="69">
        <v>48905789</v>
      </c>
      <c r="U10" s="67">
        <v>6878358</v>
      </c>
      <c r="V10" s="67">
        <v>16373523</v>
      </c>
      <c r="W10" s="67">
        <f t="shared" ref="W10:W15" si="4">L10-L10</f>
        <v>0</v>
      </c>
      <c r="X10" s="797">
        <v>17045758</v>
      </c>
      <c r="Y10" s="71">
        <f>SUM(T10:X10)</f>
        <v>89203428</v>
      </c>
      <c r="Z10" s="362">
        <f>B10*S10</f>
        <v>38761281.390326045</v>
      </c>
      <c r="AA10" s="362">
        <f>C10*S10</f>
        <v>36357315.722498938</v>
      </c>
      <c r="AB10" s="362">
        <f>D10*S10</f>
        <v>7206472.8871750049</v>
      </c>
      <c r="AC10" s="362">
        <f>U10</f>
        <v>6878358</v>
      </c>
      <c r="AD10" s="67">
        <f>SUM(Z10:AC10)</f>
        <v>89203427.999999985</v>
      </c>
      <c r="AE10" s="67">
        <v>87899873</v>
      </c>
      <c r="AF10" s="67">
        <f t="shared" ref="AF10:AG10" si="5">62181472+Y10</f>
        <v>151384900</v>
      </c>
      <c r="AG10" s="67">
        <f t="shared" si="5"/>
        <v>100942753.39032605</v>
      </c>
      <c r="AH10" s="67">
        <v>87899873</v>
      </c>
      <c r="AI10" s="65" t="s">
        <v>108</v>
      </c>
      <c r="AJ10" s="678"/>
      <c r="AK10" s="72"/>
      <c r="AL10" s="72">
        <f>('прилож.3-школы'!N35+'прилож.3-школы'!N36)*'прилож.4-школы'!S10</f>
        <v>2977386.2827146198</v>
      </c>
      <c r="AM10" s="72">
        <f>AB10-AL10</f>
        <v>4229086.6044603847</v>
      </c>
      <c r="AO10" s="642">
        <f>Y10-W10</f>
        <v>89203428</v>
      </c>
    </row>
    <row r="11" spans="1:41" ht="36.6" customHeight="1" x14ac:dyDescent="0.25">
      <c r="A11" s="73" t="s">
        <v>51</v>
      </c>
      <c r="B11" s="66">
        <f>'прилож.3-школы'!$N$61+'прилож.3-школы'!$N$83</f>
        <v>31909097.459999997</v>
      </c>
      <c r="C11" s="67">
        <f>'прилож.3-школы'!$N$73</f>
        <v>27415864.870000001</v>
      </c>
      <c r="D11" s="67">
        <f>'прилож.3-школы'!$N$79</f>
        <v>3794614.11</v>
      </c>
      <c r="E11" s="67">
        <f>'прилож.3-школы'!$N$82</f>
        <v>6782300.4666666668</v>
      </c>
      <c r="F11" s="68">
        <v>0</v>
      </c>
      <c r="G11" s="71">
        <f t="shared" si="0"/>
        <v>69901876.906666666</v>
      </c>
      <c r="H11" s="69">
        <f>'прилож.3-школы'!$O$90-'прилож.4-школы'!I11-'прилож.4-школы'!L11</f>
        <v>31645937.369999997</v>
      </c>
      <c r="I11" s="69">
        <f t="shared" si="1"/>
        <v>6782300.4666666668</v>
      </c>
      <c r="J11" s="69">
        <f>'прилож.3-школы'!$P$90</f>
        <v>13368130.110000001</v>
      </c>
      <c r="K11" s="713">
        <f>'прилож.3-школы'!$R$90</f>
        <v>12246468.960000001</v>
      </c>
      <c r="L11" s="67">
        <f>'прилож.3-школы'!$O$87</f>
        <v>5859040</v>
      </c>
      <c r="M11" s="71">
        <f t="shared" ref="M11:M16" si="6">SUM(H11:L11)</f>
        <v>69901876.906666666</v>
      </c>
      <c r="N11" s="70"/>
      <c r="O11" s="67">
        <f t="shared" si="2"/>
        <v>1.2730193303798478</v>
      </c>
      <c r="P11" s="67">
        <f t="shared" ref="P11:P16" si="7">U11/I11</f>
        <v>1.1487106827971358</v>
      </c>
      <c r="Q11" s="67">
        <f t="shared" si="3"/>
        <v>0.90063141972217076</v>
      </c>
      <c r="R11" s="68">
        <f t="shared" ref="R11:R16" si="8">X11/K11</f>
        <v>0.97133397707154268</v>
      </c>
      <c r="S11" s="68">
        <f t="shared" ref="S11:S16" si="9">(Y11-U11)/(G11-E11)</f>
        <v>1.0174507343382928</v>
      </c>
      <c r="T11" s="69">
        <v>40285890</v>
      </c>
      <c r="U11" s="67">
        <v>7790901</v>
      </c>
      <c r="V11" s="69">
        <v>12039758</v>
      </c>
      <c r="W11" s="67">
        <f t="shared" si="4"/>
        <v>0</v>
      </c>
      <c r="X11" s="805">
        <v>11895411.4</v>
      </c>
      <c r="Y11" s="74">
        <f t="shared" ref="Y11:Y16" si="10">SUM(T11:X11)</f>
        <v>72011960.400000006</v>
      </c>
      <c r="Z11" s="362">
        <f t="shared" ref="Z11:Z15" si="11">B11*S11</f>
        <v>32465934.642749149</v>
      </c>
      <c r="AA11" s="362">
        <f t="shared" ref="AA11:AA15" si="12">C11*S11</f>
        <v>27894291.844500907</v>
      </c>
      <c r="AB11" s="362">
        <f t="shared" ref="AB11:AB15" si="13">D11*S11</f>
        <v>3860832.912749947</v>
      </c>
      <c r="AC11" s="362">
        <f t="shared" ref="AC11:AC15" si="14">U11</f>
        <v>7790901</v>
      </c>
      <c r="AD11" s="67">
        <f t="shared" ref="AD11:AD15" si="15">SUM(Z11:AC11)</f>
        <v>72011960.400000006</v>
      </c>
      <c r="AE11" s="67">
        <v>73875531.700000003</v>
      </c>
      <c r="AF11" s="67">
        <f t="shared" ref="AF11:AG11" si="16">44186591.91+8707329.7</f>
        <v>52893921.609999999</v>
      </c>
      <c r="AG11" s="67">
        <f t="shared" si="16"/>
        <v>52893921.609999999</v>
      </c>
      <c r="AH11" s="67">
        <v>73875531.700000003</v>
      </c>
      <c r="AI11" s="73" t="s">
        <v>51</v>
      </c>
      <c r="AJ11" s="679"/>
      <c r="AK11" s="75"/>
      <c r="AO11" s="642">
        <f t="shared" ref="AO11:AO15" si="17">Y11-W11</f>
        <v>72011960.400000006</v>
      </c>
    </row>
    <row r="12" spans="1:41" ht="36.6" customHeight="1" x14ac:dyDescent="0.25">
      <c r="A12" s="73" t="s">
        <v>56</v>
      </c>
      <c r="B12" s="67">
        <f>'прилож.3-школы'!$N$101+'прилож.3-школы'!$N$123+'прилож.3-школы'!N124</f>
        <v>25985551.590000004</v>
      </c>
      <c r="C12" s="67">
        <f>'прилож.3-школы'!$N$111</f>
        <v>27780473.010000002</v>
      </c>
      <c r="D12" s="67">
        <f>'прилож.3-школы'!$N$119</f>
        <v>4948722</v>
      </c>
      <c r="E12" s="67">
        <f>'прилож.3-школы'!$N$122</f>
        <v>8748095.9066666663</v>
      </c>
      <c r="F12" s="67">
        <v>0</v>
      </c>
      <c r="G12" s="71">
        <f t="shared" si="0"/>
        <v>67462842.506666675</v>
      </c>
      <c r="H12" s="69">
        <f>'прилож.3-школы'!$O$130-'прилож.4-школы'!I12-'прилож.4-школы'!L12</f>
        <v>29827851.520000003</v>
      </c>
      <c r="I12" s="69">
        <f t="shared" si="1"/>
        <v>8748095.9066666663</v>
      </c>
      <c r="J12" s="69">
        <f>'прилож.3-школы'!$P$130</f>
        <v>10837491.459999999</v>
      </c>
      <c r="K12" s="67">
        <f>'прилож.3-школы'!$R$130</f>
        <v>13127843.619999999</v>
      </c>
      <c r="L12" s="67">
        <f>'прилож.3-школы'!$O$127</f>
        <v>4921560</v>
      </c>
      <c r="M12" s="71">
        <f t="shared" si="6"/>
        <v>67462842.50666666</v>
      </c>
      <c r="N12" s="70"/>
      <c r="O12" s="67">
        <f t="shared" si="2"/>
        <v>1.1729835444748786</v>
      </c>
      <c r="P12" s="67">
        <f t="shared" si="7"/>
        <v>1.1486523590056115</v>
      </c>
      <c r="Q12" s="67">
        <f t="shared" si="3"/>
        <v>1.0474599257492749</v>
      </c>
      <c r="R12" s="68">
        <f>X12/K12</f>
        <v>0.86617799991740008</v>
      </c>
      <c r="S12" s="68">
        <f t="shared" si="9"/>
        <v>0.98289560411727961</v>
      </c>
      <c r="T12" s="69">
        <v>34987579</v>
      </c>
      <c r="U12" s="67">
        <v>10048521</v>
      </c>
      <c r="V12" s="67">
        <v>11351838</v>
      </c>
      <c r="W12" s="67">
        <f t="shared" si="4"/>
        <v>0</v>
      </c>
      <c r="X12" s="67">
        <v>11371049.33</v>
      </c>
      <c r="Y12" s="71">
        <f t="shared" si="10"/>
        <v>67758987.329999998</v>
      </c>
      <c r="Z12" s="362">
        <f t="shared" si="11"/>
        <v>25541084.428373788</v>
      </c>
      <c r="AA12" s="362">
        <f t="shared" si="12"/>
        <v>27305304.801827732</v>
      </c>
      <c r="AB12" s="362">
        <f t="shared" si="13"/>
        <v>4864077.0997984726</v>
      </c>
      <c r="AC12" s="362">
        <f>U12</f>
        <v>10048521</v>
      </c>
      <c r="AD12" s="67">
        <f t="shared" si="15"/>
        <v>67758987.329999983</v>
      </c>
      <c r="AE12" s="67">
        <v>67045126.399999999</v>
      </c>
      <c r="AF12" s="67">
        <f t="shared" ref="AF12:AG15" si="18">J12</f>
        <v>10837491.459999999</v>
      </c>
      <c r="AG12" s="67">
        <f t="shared" si="18"/>
        <v>13127843.619999999</v>
      </c>
      <c r="AH12" s="67">
        <v>67045126.399999999</v>
      </c>
      <c r="AI12" s="73" t="s">
        <v>56</v>
      </c>
      <c r="AJ12" s="679"/>
      <c r="AK12" s="75"/>
      <c r="AO12" s="642">
        <f t="shared" si="17"/>
        <v>67758987.329999998</v>
      </c>
    </row>
    <row r="13" spans="1:41" ht="36.6" customHeight="1" x14ac:dyDescent="0.25">
      <c r="A13" s="73" t="s">
        <v>109</v>
      </c>
      <c r="B13" s="67">
        <f>'прилож.3-школы'!$N$228+'прилож.3-школы'!$N$256+'прилож.3-школы'!N255</f>
        <v>15699467.700333333</v>
      </c>
      <c r="C13" s="67">
        <f>'прилож.3-школы'!$N$239</f>
        <v>15387233.333333334</v>
      </c>
      <c r="D13" s="67">
        <f>'прилож.3-школы'!$N$245</f>
        <v>3987225.17</v>
      </c>
      <c r="E13" s="67">
        <f>'прилож.3-школы'!$N$248</f>
        <v>2486785.6566666667</v>
      </c>
      <c r="F13" s="67">
        <v>0</v>
      </c>
      <c r="G13" s="71">
        <f t="shared" si="0"/>
        <v>37560711.860333331</v>
      </c>
      <c r="H13" s="69">
        <f>'прилож.3-школы'!$O$257-'прилож.4-школы'!I13-'прилож.4-школы'!L13</f>
        <v>16358013.043666668</v>
      </c>
      <c r="I13" s="69">
        <f t="shared" si="1"/>
        <v>2486785.6566666667</v>
      </c>
      <c r="J13" s="69">
        <f>'прилож.3-школы'!$P$257</f>
        <v>6373109.9199999999</v>
      </c>
      <c r="K13" s="713">
        <f>'прилож.3-школы'!$R$257</f>
        <v>9296123.2400000021</v>
      </c>
      <c r="L13" s="67">
        <f>'прилож.3-школы'!$O$253</f>
        <v>3046680</v>
      </c>
      <c r="M13" s="71">
        <f t="shared" si="6"/>
        <v>37560711.860333338</v>
      </c>
      <c r="N13" s="70"/>
      <c r="O13" s="67">
        <f t="shared" si="2"/>
        <v>1.2687133177238286</v>
      </c>
      <c r="P13" s="67">
        <f t="shared" si="7"/>
        <v>1.1475657310269431</v>
      </c>
      <c r="Q13" s="67">
        <f t="shared" si="3"/>
        <v>1.1092234542849373</v>
      </c>
      <c r="R13" s="67">
        <f t="shared" si="8"/>
        <v>0.9824442688864351</v>
      </c>
      <c r="S13" s="68">
        <f t="shared" si="9"/>
        <v>1.0536532119445643</v>
      </c>
      <c r="T13" s="69">
        <v>20753629</v>
      </c>
      <c r="U13" s="67">
        <v>2853750</v>
      </c>
      <c r="V13" s="67">
        <v>7069203</v>
      </c>
      <c r="W13" s="67">
        <f t="shared" si="4"/>
        <v>0</v>
      </c>
      <c r="X13" s="795">
        <v>9132923</v>
      </c>
      <c r="Y13" s="71">
        <f t="shared" si="10"/>
        <v>39809505</v>
      </c>
      <c r="Z13" s="362">
        <f t="shared" si="11"/>
        <v>16541794.568276158</v>
      </c>
      <c r="AA13" s="362">
        <f t="shared" si="12"/>
        <v>16212807.824607132</v>
      </c>
      <c r="AB13" s="362">
        <f t="shared" si="13"/>
        <v>4201152.6071167113</v>
      </c>
      <c r="AC13" s="362">
        <f t="shared" si="14"/>
        <v>2853750</v>
      </c>
      <c r="AD13" s="67">
        <f t="shared" si="15"/>
        <v>39809505</v>
      </c>
      <c r="AE13" s="67">
        <v>39546616</v>
      </c>
      <c r="AF13" s="67">
        <f t="shared" si="18"/>
        <v>6373109.9199999999</v>
      </c>
      <c r="AG13" s="67">
        <f t="shared" si="18"/>
        <v>9296123.2400000021</v>
      </c>
      <c r="AH13" s="67">
        <v>39546616</v>
      </c>
      <c r="AI13" s="73" t="s">
        <v>109</v>
      </c>
      <c r="AJ13" s="679"/>
      <c r="AK13" s="75"/>
      <c r="AO13" s="642">
        <f t="shared" si="17"/>
        <v>39809505</v>
      </c>
    </row>
    <row r="14" spans="1:41" ht="36.6" customHeight="1" x14ac:dyDescent="0.25">
      <c r="A14" s="73" t="s">
        <v>110</v>
      </c>
      <c r="B14" s="67">
        <f>'прилож.3-школы'!$N$143+'прилож.3-школы'!$N$164+'прилож.3-школы'!$N$168</f>
        <v>28255149.199999999</v>
      </c>
      <c r="C14" s="67">
        <f>'прилож.3-школы'!$N$154</f>
        <v>26727987.960000001</v>
      </c>
      <c r="D14" s="67">
        <f>'прилож.3-школы'!$N$160</f>
        <v>4345793.93</v>
      </c>
      <c r="E14" s="67">
        <f>'прилож.3-школы'!$N$163</f>
        <v>4400074.84</v>
      </c>
      <c r="F14" s="67">
        <v>0</v>
      </c>
      <c r="G14" s="71">
        <f t="shared" si="0"/>
        <v>63729005.929999992</v>
      </c>
      <c r="H14" s="69">
        <f>'прилож.3-школы'!$O$172-'прилож.4-школы'!I14-'прилож.4-школы'!L14</f>
        <v>31876260.309999987</v>
      </c>
      <c r="I14" s="69">
        <f t="shared" si="1"/>
        <v>4400074.84</v>
      </c>
      <c r="J14" s="69">
        <f>'прилож.3-школы'!$P$172</f>
        <v>10750942.52</v>
      </c>
      <c r="K14" s="67">
        <f>'прилож.3-школы'!$R$172</f>
        <v>12014528.26</v>
      </c>
      <c r="L14" s="67">
        <f>'прилож.3-школы'!$O$169</f>
        <v>4687200</v>
      </c>
      <c r="M14" s="71">
        <f t="shared" si="6"/>
        <v>63729005.929999985</v>
      </c>
      <c r="N14" s="70"/>
      <c r="O14" s="67">
        <f t="shared" si="2"/>
        <v>1.2406726703631947</v>
      </c>
      <c r="P14" s="67">
        <f t="shared" si="7"/>
        <v>1.1484513749770675</v>
      </c>
      <c r="Q14" s="67">
        <f t="shared" si="3"/>
        <v>0.99104315553535305</v>
      </c>
      <c r="R14" s="68">
        <f t="shared" si="8"/>
        <v>0.94741888767258187</v>
      </c>
      <c r="S14" s="68">
        <f t="shared" si="9"/>
        <v>1.0380339383930068</v>
      </c>
      <c r="T14" s="69">
        <v>39548005</v>
      </c>
      <c r="U14" s="67">
        <v>5053272</v>
      </c>
      <c r="V14" s="67">
        <v>10654648</v>
      </c>
      <c r="W14" s="67">
        <f t="shared" si="4"/>
        <v>0</v>
      </c>
      <c r="X14" s="797">
        <v>11382791</v>
      </c>
      <c r="Y14" s="71">
        <f t="shared" si="10"/>
        <v>66638716</v>
      </c>
      <c r="Z14" s="362">
        <f t="shared" si="11"/>
        <v>29329803.803958017</v>
      </c>
      <c r="AA14" s="362">
        <f t="shared" si="12"/>
        <v>27744558.607439671</v>
      </c>
      <c r="AB14" s="362">
        <f t="shared" si="13"/>
        <v>4511081.5886023231</v>
      </c>
      <c r="AC14" s="362">
        <f t="shared" si="14"/>
        <v>5053272</v>
      </c>
      <c r="AD14" s="67">
        <f t="shared" si="15"/>
        <v>66638716.000000015</v>
      </c>
      <c r="AE14" s="67">
        <v>66498061</v>
      </c>
      <c r="AF14" s="67">
        <f t="shared" si="18"/>
        <v>10750942.52</v>
      </c>
      <c r="AG14" s="67">
        <f t="shared" si="18"/>
        <v>12014528.26</v>
      </c>
      <c r="AH14" s="67">
        <v>66498061</v>
      </c>
      <c r="AI14" s="73" t="s">
        <v>110</v>
      </c>
      <c r="AJ14" s="679"/>
      <c r="AK14" s="75"/>
      <c r="AO14" s="642">
        <f t="shared" si="17"/>
        <v>66638716</v>
      </c>
    </row>
    <row r="15" spans="1:41" ht="36.6" customHeight="1" x14ac:dyDescent="0.25">
      <c r="A15" s="73" t="s">
        <v>61</v>
      </c>
      <c r="B15" s="67">
        <f>'прилож.3-школы'!$N$185+'прилож.3-школы'!N209+'прилож.3-школы'!$N$210+'прилож.3-школы'!$N$211</f>
        <v>30788370.268200003</v>
      </c>
      <c r="C15" s="67">
        <f>'прилож.3-школы'!$N$196</f>
        <v>35444559.659999996</v>
      </c>
      <c r="D15" s="67">
        <f>'прилож.3-школы'!$N$204</f>
        <v>10948596.32</v>
      </c>
      <c r="E15" s="67">
        <f>'прилож.3-школы'!$N$208</f>
        <v>10430657.579999998</v>
      </c>
      <c r="F15" s="67">
        <v>0</v>
      </c>
      <c r="G15" s="71">
        <f t="shared" si="0"/>
        <v>87612183.828199998</v>
      </c>
      <c r="H15" s="69">
        <f>'прилож.3-школы'!$O$216-'прилож.4-школы'!I15-'прилож.4-школы'!L15</f>
        <v>37337283.390000001</v>
      </c>
      <c r="I15" s="69">
        <f t="shared" si="1"/>
        <v>10430657.579999998</v>
      </c>
      <c r="J15" s="69">
        <f>'прилож.3-школы'!$P$216</f>
        <v>14557290.468200002</v>
      </c>
      <c r="K15" s="67">
        <f>'прилож.3-школы'!$R$216</f>
        <v>18021792.390000001</v>
      </c>
      <c r="L15" s="67">
        <f>'прилож.3-школы'!$O$213</f>
        <v>7265160</v>
      </c>
      <c r="M15" s="71">
        <f>SUM(H15:L15)</f>
        <v>87612183.828199998</v>
      </c>
      <c r="N15" s="70"/>
      <c r="O15" s="67">
        <f t="shared" si="2"/>
        <v>1.3342339473295033</v>
      </c>
      <c r="P15" s="67">
        <f t="shared" si="7"/>
        <v>1.1484513711742421</v>
      </c>
      <c r="Q15" s="67">
        <f t="shared" si="3"/>
        <v>1.0235647926754885</v>
      </c>
      <c r="R15" s="713">
        <f t="shared" si="8"/>
        <v>0.98802103668002572</v>
      </c>
      <c r="S15" s="68">
        <f t="shared" si="9"/>
        <v>1.0692054823407249</v>
      </c>
      <c r="T15" s="69">
        <v>49816671</v>
      </c>
      <c r="U15" s="67">
        <v>11979103</v>
      </c>
      <c r="V15" s="67">
        <v>14900330</v>
      </c>
      <c r="W15" s="67">
        <f t="shared" si="4"/>
        <v>0</v>
      </c>
      <c r="X15" s="67">
        <v>17805910</v>
      </c>
      <c r="Y15" s="71">
        <f t="shared" si="10"/>
        <v>94502014</v>
      </c>
      <c r="Z15" s="362">
        <f t="shared" si="11"/>
        <v>32919094.283095617</v>
      </c>
      <c r="AA15" s="362">
        <f t="shared" si="12"/>
        <v>37897517.507624894</v>
      </c>
      <c r="AB15" s="362">
        <f t="shared" si="13"/>
        <v>11706299.209279485</v>
      </c>
      <c r="AC15" s="362">
        <f t="shared" si="14"/>
        <v>11979103</v>
      </c>
      <c r="AD15" s="67">
        <f t="shared" si="15"/>
        <v>94502014</v>
      </c>
      <c r="AE15" s="67">
        <v>93940768</v>
      </c>
      <c r="AF15" s="67">
        <f t="shared" si="18"/>
        <v>14557290.468200002</v>
      </c>
      <c r="AG15" s="67">
        <f t="shared" si="18"/>
        <v>18021792.390000001</v>
      </c>
      <c r="AH15" s="67">
        <v>93940768</v>
      </c>
      <c r="AI15" s="73" t="s">
        <v>61</v>
      </c>
      <c r="AJ15" s="679"/>
      <c r="AK15" s="75"/>
      <c r="AO15" s="642">
        <f t="shared" si="17"/>
        <v>94502014</v>
      </c>
    </row>
    <row r="16" spans="1:41" ht="36.6" customHeight="1" x14ac:dyDescent="0.25">
      <c r="A16" s="76" t="s">
        <v>111</v>
      </c>
      <c r="B16" s="71">
        <f t="shared" ref="B16:K16" si="19">SUM(B10:B15)</f>
        <v>171363070.57853332</v>
      </c>
      <c r="C16" s="71">
        <f t="shared" si="19"/>
        <v>169079810.75</v>
      </c>
      <c r="D16" s="71">
        <f>SUM(D10:D15)</f>
        <v>35224759.759999998</v>
      </c>
      <c r="E16" s="71">
        <f t="shared" si="19"/>
        <v>38838691.36333333</v>
      </c>
      <c r="F16" s="71">
        <f t="shared" si="19"/>
        <v>0</v>
      </c>
      <c r="G16" s="71">
        <f t="shared" si="0"/>
        <v>414506332.45186663</v>
      </c>
      <c r="H16" s="74">
        <f>SUM(H10:H15)</f>
        <v>189510727.4503333</v>
      </c>
      <c r="I16" s="74">
        <f>SUM(I10:I15)</f>
        <v>38838691.36333333</v>
      </c>
      <c r="J16" s="74">
        <f>SUM(J10:J15)</f>
        <v>70986610.598200008</v>
      </c>
      <c r="K16" s="807">
        <f t="shared" si="19"/>
        <v>82125503.039999992</v>
      </c>
      <c r="L16" s="71">
        <f>SUM(L10:L15)</f>
        <v>33044800</v>
      </c>
      <c r="M16" s="71">
        <f t="shared" si="6"/>
        <v>414506332.45186663</v>
      </c>
      <c r="N16" s="70">
        <f>SUM(N10:N15)</f>
        <v>0</v>
      </c>
      <c r="O16" s="67">
        <f t="shared" si="2"/>
        <v>1.2363287617129979</v>
      </c>
      <c r="P16" s="67">
        <f t="shared" si="7"/>
        <v>1.1484399559895953</v>
      </c>
      <c r="Q16" s="67">
        <f t="shared" si="3"/>
        <v>1.0197599151442731</v>
      </c>
      <c r="R16" s="68">
        <f t="shared" si="8"/>
        <v>0.95748384873454773</v>
      </c>
      <c r="S16" s="68">
        <f t="shared" si="9"/>
        <v>1.0256957575943886</v>
      </c>
      <c r="T16" s="796">
        <f>SUM(T10:T15)</f>
        <v>234297563</v>
      </c>
      <c r="U16" s="796">
        <f>SUM(U10:U15)</f>
        <v>44603905</v>
      </c>
      <c r="V16" s="796">
        <f>SUM(V10:V15)</f>
        <v>72389300</v>
      </c>
      <c r="W16" s="71">
        <f>SUM(W10:W15)</f>
        <v>0</v>
      </c>
      <c r="X16" s="807">
        <f>SUM(X10:X15)</f>
        <v>78633842.729999989</v>
      </c>
      <c r="Y16" s="796">
        <f t="shared" si="10"/>
        <v>429924610.73000002</v>
      </c>
      <c r="Z16" s="363">
        <f>SUM(Z10:Z15)</f>
        <v>175558993.11677879</v>
      </c>
      <c r="AA16" s="363">
        <f>SUM(AA10:AA15)</f>
        <v>173411796.30849928</v>
      </c>
      <c r="AB16" s="363">
        <f>SUM(AB10:AB15)</f>
        <v>36349916.304721944</v>
      </c>
      <c r="AC16" s="363">
        <f>SUM(AC10:AC15)</f>
        <v>44603905</v>
      </c>
      <c r="AD16" s="796">
        <f>SUM(Z16:AC16)</f>
        <v>429924610.73000002</v>
      </c>
      <c r="AE16" s="796">
        <f>SUM(AE10:AE15)</f>
        <v>428805976.10000002</v>
      </c>
      <c r="AF16" s="796">
        <f t="shared" ref="AF16:AG16" si="20">SUM(AF10:AF15)</f>
        <v>246797655.97820002</v>
      </c>
      <c r="AG16" s="796">
        <f t="shared" si="20"/>
        <v>206296962.51032603</v>
      </c>
      <c r="AH16" s="796">
        <f>SUM(AH10:AH15)</f>
        <v>428805976.10000002</v>
      </c>
      <c r="AI16" s="73" t="s">
        <v>111</v>
      </c>
      <c r="AJ16" s="679"/>
      <c r="AK16" s="659" t="s">
        <v>450</v>
      </c>
      <c r="AO16" s="75">
        <f>SUM(AO10:AO15)</f>
        <v>429924610.73000002</v>
      </c>
    </row>
    <row r="17" spans="1:34" ht="36.6" customHeight="1" x14ac:dyDescent="0.25">
      <c r="G17" s="80"/>
      <c r="Y17" s="799"/>
    </row>
    <row r="18" spans="1:34" ht="36.6" customHeight="1" x14ac:dyDescent="0.25">
      <c r="A18" s="48" t="s">
        <v>78</v>
      </c>
      <c r="H18" s="75"/>
      <c r="I18" s="75"/>
      <c r="J18" s="75"/>
      <c r="X18" s="798"/>
      <c r="Y18" s="75"/>
      <c r="AH18" s="75"/>
    </row>
    <row r="19" spans="1:34" x14ac:dyDescent="0.25">
      <c r="G19" s="77"/>
      <c r="H19" s="75"/>
      <c r="M19" s="75"/>
    </row>
    <row r="20" spans="1:34" ht="20.399999999999999" hidden="1" customHeight="1" x14ac:dyDescent="0.25">
      <c r="B20" s="75"/>
      <c r="C20" s="75"/>
      <c r="D20" s="75"/>
      <c r="R20" s="49">
        <v>1.03</v>
      </c>
      <c r="T20" s="48" t="s">
        <v>294</v>
      </c>
      <c r="Y20" s="78"/>
    </row>
    <row r="21" spans="1:34" x14ac:dyDescent="0.25">
      <c r="B21" s="75"/>
      <c r="G21" s="75"/>
    </row>
    <row r="22" spans="1:34" x14ac:dyDescent="0.25">
      <c r="H22" s="75"/>
    </row>
  </sheetData>
  <mergeCells count="11">
    <mergeCell ref="X2:Y2"/>
    <mergeCell ref="X3:Y3"/>
    <mergeCell ref="Z7:AC7"/>
    <mergeCell ref="T7:Y7"/>
    <mergeCell ref="B9:E9"/>
    <mergeCell ref="A5:L5"/>
    <mergeCell ref="A7:A8"/>
    <mergeCell ref="G7:G8"/>
    <mergeCell ref="O7:R7"/>
    <mergeCell ref="B7:E7"/>
    <mergeCell ref="H7:L7"/>
  </mergeCells>
  <pageMargins left="0" right="0" top="0.74803149606299213" bottom="0.74803149606299213" header="0.31496062992125984" footer="0.31496062992125984"/>
  <pageSetup paperSize="9" scale="5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Z189"/>
  <sheetViews>
    <sheetView tabSelected="1" topLeftCell="A9" zoomScale="70" zoomScaleNormal="70" workbookViewId="0">
      <pane xSplit="3" ySplit="3" topLeftCell="D12" activePane="bottomRight" state="frozen"/>
      <selection activeCell="A9" sqref="A9"/>
      <selection pane="topRight" activeCell="D9" sqref="D9"/>
      <selection pane="bottomLeft" activeCell="A12" sqref="A12"/>
      <selection pane="bottomRight" activeCell="L13" sqref="L13"/>
    </sheetView>
  </sheetViews>
  <sheetFormatPr defaultColWidth="9.109375" defaultRowHeight="13.8" x14ac:dyDescent="0.25"/>
  <cols>
    <col min="1" max="1" width="28.5546875" style="83" customWidth="1"/>
    <col min="2" max="2" width="22.6640625" style="83" customWidth="1"/>
    <col min="3" max="3" width="23.6640625" style="83" customWidth="1"/>
    <col min="4" max="4" width="7.109375" style="84" customWidth="1"/>
    <col min="5" max="5" width="10.6640625" style="84" hidden="1" customWidth="1"/>
    <col min="6" max="6" width="11" style="83" hidden="1" customWidth="1"/>
    <col min="7" max="7" width="8.6640625" style="83" customWidth="1"/>
    <col min="8" max="8" width="9.33203125" style="84" customWidth="1"/>
    <col min="9" max="9" width="8.5546875" style="84" customWidth="1"/>
    <col min="10" max="10" width="18.33203125" style="83" customWidth="1"/>
    <col min="11" max="11" width="13.109375" style="84" customWidth="1"/>
    <col min="12" max="12" width="13.88671875" style="83" customWidth="1"/>
    <col min="13" max="13" width="13.33203125" style="84" customWidth="1"/>
    <col min="14" max="14" width="15.109375" style="84" customWidth="1"/>
    <col min="15" max="15" width="16" style="84" customWidth="1"/>
    <col min="16" max="16" width="5.6640625" style="84" hidden="1" customWidth="1"/>
    <col min="17" max="17" width="15.109375" style="83" customWidth="1"/>
    <col min="18" max="18" width="0.44140625" style="83" hidden="1" customWidth="1"/>
    <col min="19" max="19" width="14.33203125" style="83" customWidth="1"/>
    <col min="20" max="20" width="16.5546875" style="84" customWidth="1"/>
    <col min="21" max="21" width="14.44140625" style="84" customWidth="1"/>
    <col min="22" max="22" width="15.33203125" style="84" customWidth="1"/>
    <col min="23" max="23" width="15.33203125" style="83" hidden="1" customWidth="1"/>
    <col min="24" max="24" width="17.5546875" style="83" hidden="1" customWidth="1"/>
    <col min="25" max="25" width="18.6640625" style="83" hidden="1" customWidth="1"/>
    <col min="26" max="26" width="9.109375" style="83" hidden="1" customWidth="1"/>
    <col min="27" max="27" width="16.5546875" style="83" hidden="1" customWidth="1"/>
    <col min="28" max="28" width="17.109375" style="83" hidden="1" customWidth="1"/>
    <col min="29" max="29" width="15.6640625" style="83" hidden="1" customWidth="1"/>
    <col min="30" max="30" width="9.109375" style="83" customWidth="1"/>
    <col min="31" max="31" width="13.5546875" style="83" hidden="1" customWidth="1"/>
    <col min="32" max="32" width="13.33203125" style="83" hidden="1" customWidth="1"/>
    <col min="33" max="33" width="13.88671875" style="83" hidden="1" customWidth="1"/>
    <col min="34" max="34" width="14.88671875" style="83" customWidth="1"/>
    <col min="35" max="16384" width="9.109375" style="83"/>
  </cols>
  <sheetData>
    <row r="1" spans="1:29" ht="16.2" customHeight="1" x14ac:dyDescent="0.25">
      <c r="D1" s="83"/>
      <c r="E1" s="83"/>
      <c r="H1" s="83"/>
      <c r="I1" s="83"/>
      <c r="K1" s="83"/>
      <c r="M1" s="83"/>
      <c r="N1" s="83"/>
      <c r="O1" s="83"/>
      <c r="P1" s="83"/>
      <c r="T1" s="85"/>
      <c r="U1" s="83"/>
      <c r="V1" s="83"/>
    </row>
    <row r="2" spans="1:29" ht="21" customHeight="1" x14ac:dyDescent="0.25">
      <c r="D2" s="83"/>
      <c r="E2" s="83"/>
      <c r="H2" s="83"/>
      <c r="I2" s="83"/>
      <c r="K2" s="83"/>
      <c r="M2" s="83"/>
      <c r="N2" s="83"/>
      <c r="O2" s="83"/>
      <c r="P2" s="83"/>
      <c r="T2" s="85" t="s">
        <v>0</v>
      </c>
      <c r="U2" s="83"/>
      <c r="V2" s="83"/>
    </row>
    <row r="3" spans="1:29" ht="21" customHeight="1" x14ac:dyDescent="0.25">
      <c r="D3" s="83"/>
      <c r="E3" s="83"/>
      <c r="H3" s="83"/>
      <c r="I3" s="83"/>
      <c r="K3" s="83"/>
      <c r="M3" s="83"/>
      <c r="N3" s="83"/>
      <c r="O3" s="83"/>
      <c r="P3" s="83"/>
      <c r="T3" s="85" t="s">
        <v>629</v>
      </c>
      <c r="U3" s="83"/>
      <c r="V3" s="83"/>
    </row>
    <row r="4" spans="1:29" ht="21" customHeight="1" x14ac:dyDescent="0.25">
      <c r="D4" s="83"/>
      <c r="E4" s="83"/>
      <c r="H4" s="83"/>
      <c r="I4" s="83"/>
      <c r="K4" s="83"/>
      <c r="M4" s="83"/>
      <c r="N4" s="83"/>
      <c r="O4" s="83"/>
      <c r="P4" s="83"/>
      <c r="T4" s="85"/>
      <c r="U4" s="83"/>
      <c r="V4" s="83"/>
    </row>
    <row r="5" spans="1:29" ht="21" customHeight="1" x14ac:dyDescent="0.25">
      <c r="A5" s="887" t="s">
        <v>592</v>
      </c>
      <c r="B5" s="887"/>
      <c r="C5" s="887"/>
      <c r="D5" s="887"/>
      <c r="E5" s="887"/>
      <c r="F5" s="887"/>
      <c r="G5" s="887"/>
      <c r="H5" s="887"/>
      <c r="I5" s="887"/>
      <c r="J5" s="887"/>
      <c r="K5" s="887"/>
      <c r="L5" s="887"/>
      <c r="M5" s="887"/>
      <c r="N5" s="887"/>
      <c r="O5" s="887"/>
      <c r="P5" s="887"/>
      <c r="Q5" s="887"/>
      <c r="R5" s="887"/>
      <c r="S5" s="887"/>
      <c r="T5" s="887"/>
      <c r="U5" s="887"/>
      <c r="V5" s="887"/>
    </row>
    <row r="6" spans="1:29" ht="21" hidden="1" customHeight="1" x14ac:dyDescent="0.25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</row>
    <row r="7" spans="1:29" ht="21" customHeight="1" x14ac:dyDescent="0.25">
      <c r="A7" s="86" t="s">
        <v>295</v>
      </c>
      <c r="D7" s="83"/>
      <c r="E7" s="83"/>
      <c r="H7" s="83"/>
      <c r="I7" s="83"/>
      <c r="K7" s="83"/>
      <c r="M7" s="83"/>
      <c r="N7" s="83"/>
      <c r="O7" s="83"/>
      <c r="P7" s="83"/>
      <c r="T7" s="83"/>
      <c r="U7" s="83"/>
      <c r="V7" s="83"/>
    </row>
    <row r="8" spans="1:29" ht="21" customHeight="1" x14ac:dyDescent="0.25">
      <c r="D8" s="83"/>
      <c r="E8" s="83"/>
      <c r="H8" s="83"/>
      <c r="I8" s="83"/>
      <c r="K8" s="83"/>
      <c r="M8" s="83"/>
      <c r="N8" s="83"/>
      <c r="O8" s="83"/>
      <c r="P8" s="83"/>
      <c r="T8" s="83"/>
      <c r="U8" s="83"/>
      <c r="V8" s="83"/>
    </row>
    <row r="9" spans="1:29" ht="51.6" customHeight="1" x14ac:dyDescent="0.25">
      <c r="A9" s="87" t="s">
        <v>2</v>
      </c>
      <c r="B9" s="87" t="s">
        <v>116</v>
      </c>
      <c r="C9" s="87" t="s">
        <v>117</v>
      </c>
      <c r="D9" s="610" t="s">
        <v>5</v>
      </c>
      <c r="E9" s="888" t="s">
        <v>6</v>
      </c>
      <c r="F9" s="889"/>
      <c r="G9" s="889"/>
      <c r="H9" s="889"/>
      <c r="I9" s="890"/>
      <c r="J9" s="891" t="s">
        <v>7</v>
      </c>
      <c r="K9" s="892"/>
      <c r="L9" s="892"/>
      <c r="M9" s="893"/>
      <c r="N9" s="888" t="s">
        <v>8</v>
      </c>
      <c r="O9" s="889"/>
      <c r="P9" s="889"/>
      <c r="Q9" s="889"/>
      <c r="R9" s="889"/>
      <c r="S9" s="889"/>
      <c r="T9" s="889"/>
      <c r="U9" s="889"/>
      <c r="V9" s="890"/>
    </row>
    <row r="10" spans="1:29" ht="79.2" customHeight="1" x14ac:dyDescent="0.25">
      <c r="A10" s="88"/>
      <c r="B10" s="88"/>
      <c r="C10" s="88"/>
      <c r="D10" s="89"/>
      <c r="E10" s="90" t="s">
        <v>486</v>
      </c>
      <c r="F10" s="689" t="s">
        <v>549</v>
      </c>
      <c r="G10" s="91" t="s">
        <v>596</v>
      </c>
      <c r="H10" s="636" t="s">
        <v>444</v>
      </c>
      <c r="I10" s="636" t="s">
        <v>586</v>
      </c>
      <c r="J10" s="92" t="s">
        <v>532</v>
      </c>
      <c r="K10" s="609" t="s">
        <v>442</v>
      </c>
      <c r="L10" s="92" t="s">
        <v>118</v>
      </c>
      <c r="M10" s="636" t="s">
        <v>119</v>
      </c>
      <c r="N10" s="894" t="s">
        <v>337</v>
      </c>
      <c r="O10" s="895"/>
      <c r="P10" s="895"/>
      <c r="Q10" s="895"/>
      <c r="R10" s="895"/>
      <c r="S10" s="895"/>
      <c r="T10" s="896"/>
      <c r="U10" s="636" t="s">
        <v>444</v>
      </c>
      <c r="V10" s="636" t="s">
        <v>586</v>
      </c>
      <c r="AA10" s="83">
        <v>21722659.059999999</v>
      </c>
      <c r="AB10" s="93">
        <f>AA10+U23</f>
        <v>23439424.18</v>
      </c>
    </row>
    <row r="11" spans="1:29" ht="97.2" customHeight="1" x14ac:dyDescent="0.25">
      <c r="A11" s="92" t="s">
        <v>18</v>
      </c>
      <c r="B11" s="92" t="s">
        <v>120</v>
      </c>
      <c r="C11" s="94"/>
      <c r="D11" s="371" t="s">
        <v>19</v>
      </c>
      <c r="E11" s="371" t="s">
        <v>20</v>
      </c>
      <c r="F11" s="372" t="s">
        <v>20</v>
      </c>
      <c r="G11" s="372" t="s">
        <v>20</v>
      </c>
      <c r="H11" s="371" t="s">
        <v>20</v>
      </c>
      <c r="I11" s="371" t="s">
        <v>20</v>
      </c>
      <c r="J11" s="92" t="s">
        <v>21</v>
      </c>
      <c r="K11" s="90" t="s">
        <v>21</v>
      </c>
      <c r="L11" s="92" t="s">
        <v>21</v>
      </c>
      <c r="M11" s="90" t="s">
        <v>21</v>
      </c>
      <c r="N11" s="90" t="s">
        <v>533</v>
      </c>
      <c r="O11" s="90" t="s">
        <v>121</v>
      </c>
      <c r="P11" s="635" t="s">
        <v>122</v>
      </c>
      <c r="Q11" s="87" t="s">
        <v>123</v>
      </c>
      <c r="R11" s="87" t="s">
        <v>124</v>
      </c>
      <c r="S11" s="87" t="s">
        <v>125</v>
      </c>
      <c r="T11" s="95" t="s">
        <v>119</v>
      </c>
      <c r="U11" s="90" t="s">
        <v>21</v>
      </c>
      <c r="V11" s="90" t="s">
        <v>21</v>
      </c>
      <c r="W11" s="93"/>
      <c r="AA11" s="93">
        <f>U12-AB10</f>
        <v>12188194.194999993</v>
      </c>
    </row>
    <row r="12" spans="1:29" ht="28.95" customHeight="1" x14ac:dyDescent="0.25">
      <c r="A12" s="96" t="s">
        <v>126</v>
      </c>
      <c r="B12" s="97"/>
      <c r="C12" s="97"/>
      <c r="D12" s="636"/>
      <c r="E12" s="98"/>
      <c r="F12" s="99"/>
      <c r="G12" s="99"/>
      <c r="H12" s="98"/>
      <c r="I12" s="98"/>
      <c r="J12" s="99"/>
      <c r="K12" s="98"/>
      <c r="L12" s="99"/>
      <c r="M12" s="100"/>
      <c r="N12" s="101">
        <f>N13</f>
        <v>9071917.2400000002</v>
      </c>
      <c r="O12" s="101">
        <f t="shared" ref="O12:R12" si="0">O13</f>
        <v>5150884.8149999995</v>
      </c>
      <c r="P12" s="101">
        <f t="shared" si="0"/>
        <v>0</v>
      </c>
      <c r="Q12" s="777">
        <f>Q13+Q22</f>
        <v>19688050.670000002</v>
      </c>
      <c r="R12" s="101">
        <f t="shared" si="0"/>
        <v>0</v>
      </c>
      <c r="S12" s="101">
        <f>S23</f>
        <v>1716765.12</v>
      </c>
      <c r="T12" s="101">
        <f>T13+T22+T23</f>
        <v>35627617.844999991</v>
      </c>
      <c r="U12" s="101">
        <f>U13+U22+U23</f>
        <v>35627618.374999993</v>
      </c>
      <c r="V12" s="101">
        <f t="shared" ref="V12" si="1">V13+V22+V23</f>
        <v>35627618.374999993</v>
      </c>
      <c r="W12" s="93">
        <v>9687443.9800000004</v>
      </c>
      <c r="X12" s="93">
        <f>W12-Q12</f>
        <v>-10000606.690000001</v>
      </c>
      <c r="Y12" s="83">
        <f>X12/144</f>
        <v>-69448.657569444447</v>
      </c>
      <c r="AA12" s="83">
        <v>8719839.9800000004</v>
      </c>
      <c r="AB12" s="93">
        <f>AA12-Q12</f>
        <v>-10968210.690000001</v>
      </c>
      <c r="AC12" s="103">
        <f>AB12/I23</f>
        <v>-130573.93678571431</v>
      </c>
    </row>
    <row r="13" spans="1:29" ht="73.95" customHeight="1" x14ac:dyDescent="0.25">
      <c r="A13" s="92" t="s">
        <v>127</v>
      </c>
      <c r="B13" s="87" t="s">
        <v>128</v>
      </c>
      <c r="C13" s="87"/>
      <c r="D13" s="636"/>
      <c r="E13" s="98"/>
      <c r="F13" s="99"/>
      <c r="G13" s="99"/>
      <c r="H13" s="98"/>
      <c r="I13" s="98"/>
      <c r="J13" s="99"/>
      <c r="K13" s="98"/>
      <c r="L13" s="99"/>
      <c r="M13" s="98"/>
      <c r="N13" s="98">
        <f>N14+N15+N17+N18+N21+N20+N16+N19</f>
        <v>9071917.2400000002</v>
      </c>
      <c r="O13" s="98">
        <f>O14+O15+O17+O18+O21+O20+O16+O19</f>
        <v>5150884.8149999995</v>
      </c>
      <c r="P13" s="98">
        <f t="shared" ref="P13:S13" si="2">P14+P15+P17+P18+P21+P20+P16</f>
        <v>0</v>
      </c>
      <c r="Q13" s="373">
        <f>Q14+Q15+Q17+Q18+Q21+Q20+Q16+Q19-1+0.47</f>
        <v>9737466.9500000011</v>
      </c>
      <c r="R13" s="98">
        <f t="shared" si="2"/>
        <v>0</v>
      </c>
      <c r="S13" s="98">
        <f t="shared" si="2"/>
        <v>0</v>
      </c>
      <c r="T13" s="102">
        <f>T14+T15+T17+T18+T21+T20+T16+T19-1+0.47</f>
        <v>23960269.004999999</v>
      </c>
      <c r="U13" s="98">
        <f t="shared" ref="U13:V13" si="3">U14+U15+U17+U18+U21+U20+U16+U19</f>
        <v>23960269.535</v>
      </c>
      <c r="V13" s="98">
        <f t="shared" si="3"/>
        <v>23960269.535</v>
      </c>
      <c r="W13" s="93">
        <v>21722659.059999999</v>
      </c>
      <c r="X13" s="93"/>
    </row>
    <row r="14" spans="1:29" ht="76.2" customHeight="1" x14ac:dyDescent="0.25">
      <c r="A14" s="92"/>
      <c r="B14" s="97" t="s">
        <v>451</v>
      </c>
      <c r="C14" s="868" t="s">
        <v>296</v>
      </c>
      <c r="D14" s="636" t="s">
        <v>130</v>
      </c>
      <c r="E14" s="104">
        <v>12</v>
      </c>
      <c r="F14" s="586">
        <v>15</v>
      </c>
      <c r="G14" s="109">
        <v>16</v>
      </c>
      <c r="H14" s="684">
        <v>16</v>
      </c>
      <c r="I14" s="684">
        <v>16</v>
      </c>
      <c r="J14" s="99">
        <v>72102.22</v>
      </c>
      <c r="K14" s="98">
        <f>52476.66+16398.21</f>
        <v>68874.87</v>
      </c>
      <c r="L14" s="107">
        <v>115922.22</v>
      </c>
      <c r="M14" s="98">
        <f>J14+K14+L14</f>
        <v>256899.31</v>
      </c>
      <c r="N14" s="98">
        <f>G14*J14</f>
        <v>1153635.52</v>
      </c>
      <c r="O14" s="98">
        <f>G14*K14</f>
        <v>1101997.92</v>
      </c>
      <c r="P14" s="98"/>
      <c r="Q14" s="99">
        <f>G14*L14</f>
        <v>1854755.52</v>
      </c>
      <c r="R14" s="99"/>
      <c r="S14" s="99">
        <v>0</v>
      </c>
      <c r="T14" s="98">
        <f>SUM(N14:Q14)</f>
        <v>4110388.96</v>
      </c>
      <c r="U14" s="98">
        <f>T14</f>
        <v>4110388.96</v>
      </c>
      <c r="V14" s="98">
        <f>U14</f>
        <v>4110388.96</v>
      </c>
      <c r="X14" s="93">
        <f>W13-U12</f>
        <v>-13904959.314999994</v>
      </c>
    </row>
    <row r="15" spans="1:29" ht="27.6" customHeight="1" x14ac:dyDescent="0.25">
      <c r="A15" s="97"/>
      <c r="B15" s="97" t="s">
        <v>338</v>
      </c>
      <c r="C15" s="871"/>
      <c r="D15" s="636" t="s">
        <v>130</v>
      </c>
      <c r="E15" s="104">
        <v>4</v>
      </c>
      <c r="F15" s="586">
        <v>1</v>
      </c>
      <c r="G15" s="774">
        <v>3</v>
      </c>
      <c r="H15" s="684">
        <f>1+2</f>
        <v>3</v>
      </c>
      <c r="I15" s="684">
        <f>1+2</f>
        <v>3</v>
      </c>
      <c r="J15" s="99">
        <v>109983.36</v>
      </c>
      <c r="K15" s="98">
        <f>52476.66+16398.21</f>
        <v>68874.87</v>
      </c>
      <c r="L15" s="107">
        <v>115922.22</v>
      </c>
      <c r="M15" s="98">
        <f>J15+K15+L15</f>
        <v>294780.44999999995</v>
      </c>
      <c r="N15" s="98">
        <f t="shared" ref="N15:N22" si="4">G15*J15</f>
        <v>329950.08000000002</v>
      </c>
      <c r="O15" s="98">
        <f>G15*K15</f>
        <v>206624.61</v>
      </c>
      <c r="P15" s="98"/>
      <c r="Q15" s="99">
        <f>G15*L15</f>
        <v>347766.66000000003</v>
      </c>
      <c r="R15" s="99"/>
      <c r="S15" s="99">
        <v>0</v>
      </c>
      <c r="T15" s="98">
        <f t="shared" ref="T15:T21" si="5">SUM(N15:Q15)</f>
        <v>884341.35</v>
      </c>
      <c r="U15" s="98">
        <f t="shared" ref="U15:V21" si="6">T15</f>
        <v>884341.35</v>
      </c>
      <c r="V15" s="98">
        <f t="shared" si="6"/>
        <v>884341.35</v>
      </c>
      <c r="X15" s="93"/>
    </row>
    <row r="16" spans="1:29" ht="27.6" customHeight="1" x14ac:dyDescent="0.25">
      <c r="A16" s="97"/>
      <c r="B16" s="97" t="s">
        <v>338</v>
      </c>
      <c r="C16" s="879" t="s">
        <v>452</v>
      </c>
      <c r="D16" s="636" t="s">
        <v>130</v>
      </c>
      <c r="E16" s="104">
        <v>50</v>
      </c>
      <c r="F16" s="586">
        <v>54</v>
      </c>
      <c r="G16" s="774">
        <v>51</v>
      </c>
      <c r="H16" s="684">
        <f>55-4</f>
        <v>51</v>
      </c>
      <c r="I16" s="684">
        <f>54-3</f>
        <v>51</v>
      </c>
      <c r="J16" s="99">
        <v>109983.36</v>
      </c>
      <c r="K16" s="98">
        <f>39387.49+16398.21</f>
        <v>55785.7</v>
      </c>
      <c r="L16" s="107">
        <v>115922.22</v>
      </c>
      <c r="M16" s="98">
        <f>J16+K16+L16</f>
        <v>281691.28000000003</v>
      </c>
      <c r="N16" s="98">
        <f>G16*J16-195554.87+219966.72-36661.12+12249.27</f>
        <v>5609151.3599999994</v>
      </c>
      <c r="O16" s="98">
        <f>(G16-9)*K16+135373.09+289272.46+61639.29-65166.86</f>
        <v>2764117.38</v>
      </c>
      <c r="P16" s="98"/>
      <c r="Q16" s="99">
        <f>G16*L16</f>
        <v>5912033.2199999997</v>
      </c>
      <c r="R16" s="99"/>
      <c r="S16" s="99">
        <v>0</v>
      </c>
      <c r="T16" s="98">
        <f t="shared" ref="T16" si="7">SUM(N16:Q16)</f>
        <v>14285301.959999999</v>
      </c>
      <c r="U16" s="98">
        <f t="shared" si="6"/>
        <v>14285301.959999999</v>
      </c>
      <c r="V16" s="98">
        <f t="shared" si="6"/>
        <v>14285301.959999999</v>
      </c>
      <c r="X16" s="93"/>
    </row>
    <row r="17" spans="1:52" ht="32.4" customHeight="1" x14ac:dyDescent="0.25">
      <c r="A17" s="92"/>
      <c r="B17" s="372" t="s">
        <v>339</v>
      </c>
      <c r="C17" s="880"/>
      <c r="D17" s="636" t="s">
        <v>130</v>
      </c>
      <c r="E17" s="104">
        <v>2</v>
      </c>
      <c r="F17" s="683">
        <v>2</v>
      </c>
      <c r="G17" s="684">
        <v>2</v>
      </c>
      <c r="H17" s="684">
        <v>2</v>
      </c>
      <c r="I17" s="684">
        <v>2</v>
      </c>
      <c r="J17" s="108">
        <v>109983.36</v>
      </c>
      <c r="K17" s="98">
        <f>39387.49+16398.21</f>
        <v>55785.7</v>
      </c>
      <c r="L17" s="107">
        <v>115922.22</v>
      </c>
      <c r="M17" s="98">
        <f t="shared" ref="M17:M93" si="8">J17+K17+L17</f>
        <v>281691.28000000003</v>
      </c>
      <c r="N17" s="98">
        <f t="shared" si="4"/>
        <v>219966.72</v>
      </c>
      <c r="O17" s="98">
        <f t="shared" ref="O17:O21" si="9">G17*K17</f>
        <v>111571.4</v>
      </c>
      <c r="P17" s="98"/>
      <c r="Q17" s="99">
        <f t="shared" ref="Q17:Q21" si="10">G17*L17</f>
        <v>231844.44</v>
      </c>
      <c r="R17" s="99"/>
      <c r="S17" s="99">
        <v>0</v>
      </c>
      <c r="T17" s="98">
        <f t="shared" si="5"/>
        <v>563382.56000000006</v>
      </c>
      <c r="U17" s="98">
        <f t="shared" si="6"/>
        <v>563382.56000000006</v>
      </c>
      <c r="V17" s="98">
        <f t="shared" si="6"/>
        <v>563382.56000000006</v>
      </c>
      <c r="X17" s="93"/>
    </row>
    <row r="18" spans="1:52" ht="27" customHeight="1" x14ac:dyDescent="0.25">
      <c r="A18" s="97"/>
      <c r="B18" s="97" t="s">
        <v>338</v>
      </c>
      <c r="C18" s="880"/>
      <c r="D18" s="636" t="s">
        <v>130</v>
      </c>
      <c r="E18" s="104">
        <v>10</v>
      </c>
      <c r="F18" s="586">
        <v>1</v>
      </c>
      <c r="G18" s="774">
        <v>7</v>
      </c>
      <c r="H18" s="684">
        <f>5+2</f>
        <v>7</v>
      </c>
      <c r="I18" s="684">
        <f>5+2</f>
        <v>7</v>
      </c>
      <c r="J18" s="108">
        <v>146601.13</v>
      </c>
      <c r="K18" s="98">
        <f>52476.66+16398.21*1.5</f>
        <v>77073.975000000006</v>
      </c>
      <c r="L18" s="107">
        <v>115922.22</v>
      </c>
      <c r="M18" s="98">
        <f t="shared" si="8"/>
        <v>339597.32500000001</v>
      </c>
      <c r="N18" s="98">
        <f t="shared" si="4"/>
        <v>1026207.91</v>
      </c>
      <c r="O18" s="98">
        <f>G18*K18</f>
        <v>539517.82500000007</v>
      </c>
      <c r="P18" s="98"/>
      <c r="Q18" s="99">
        <f t="shared" si="10"/>
        <v>811455.54</v>
      </c>
      <c r="R18" s="99"/>
      <c r="S18" s="99">
        <v>0</v>
      </c>
      <c r="T18" s="98">
        <f t="shared" ref="T18" si="11">SUM(N18:Q18)</f>
        <v>2377181.2750000004</v>
      </c>
      <c r="U18" s="98">
        <f t="shared" si="6"/>
        <v>2377181.2750000004</v>
      </c>
      <c r="V18" s="98">
        <f t="shared" si="6"/>
        <v>2377181.2750000004</v>
      </c>
      <c r="X18" s="93"/>
    </row>
    <row r="19" spans="1:52" ht="27" customHeight="1" x14ac:dyDescent="0.25">
      <c r="A19" s="97"/>
      <c r="B19" s="97" t="s">
        <v>451</v>
      </c>
      <c r="C19" s="880"/>
      <c r="D19" s="636" t="s">
        <v>130</v>
      </c>
      <c r="E19" s="104"/>
      <c r="F19" s="586"/>
      <c r="G19" s="774">
        <v>1</v>
      </c>
      <c r="H19" s="684">
        <v>1</v>
      </c>
      <c r="I19" s="684">
        <v>1</v>
      </c>
      <c r="J19" s="108">
        <v>146601.13</v>
      </c>
      <c r="K19" s="98">
        <f>52476.66+16398.21*1.5</f>
        <v>77073.975000000006</v>
      </c>
      <c r="L19" s="107">
        <v>115923.22</v>
      </c>
      <c r="M19" s="98">
        <f t="shared" ref="M19" si="12">J19+K19+L19</f>
        <v>339598.32500000001</v>
      </c>
      <c r="N19" s="98">
        <f t="shared" ref="N19" si="13">G19*J19</f>
        <v>146601.13</v>
      </c>
      <c r="O19" s="98">
        <f>G19*K19</f>
        <v>77073.975000000006</v>
      </c>
      <c r="P19" s="98"/>
      <c r="Q19" s="99">
        <f t="shared" ref="Q19" si="14">G19*L19</f>
        <v>115923.22</v>
      </c>
      <c r="R19" s="99"/>
      <c r="S19" s="99">
        <v>1</v>
      </c>
      <c r="T19" s="98">
        <f t="shared" ref="T19" si="15">SUM(N19:Q19)</f>
        <v>339598.32500000001</v>
      </c>
      <c r="U19" s="98">
        <f t="shared" ref="U19" si="16">T19</f>
        <v>339598.32500000001</v>
      </c>
      <c r="V19" s="98">
        <f t="shared" ref="V19" si="17">U19</f>
        <v>339598.32500000001</v>
      </c>
      <c r="X19" s="93"/>
    </row>
    <row r="20" spans="1:52" ht="28.2" customHeight="1" x14ac:dyDescent="0.25">
      <c r="A20" s="92"/>
      <c r="B20" s="97" t="s">
        <v>339</v>
      </c>
      <c r="C20" s="880"/>
      <c r="D20" s="636" t="s">
        <v>130</v>
      </c>
      <c r="E20" s="104">
        <v>2</v>
      </c>
      <c r="F20" s="586">
        <v>4</v>
      </c>
      <c r="G20" s="684">
        <f>3</f>
        <v>3</v>
      </c>
      <c r="H20" s="684">
        <f>4-1</f>
        <v>3</v>
      </c>
      <c r="I20" s="684">
        <f>4-1</f>
        <v>3</v>
      </c>
      <c r="J20" s="108">
        <v>146601.13</v>
      </c>
      <c r="K20" s="98">
        <f>52476.66+16398.21*1.5</f>
        <v>77073.975000000006</v>
      </c>
      <c r="L20" s="107">
        <v>115922.22</v>
      </c>
      <c r="M20" s="98">
        <f t="shared" si="8"/>
        <v>339597.32500000001</v>
      </c>
      <c r="N20" s="98">
        <f t="shared" si="4"/>
        <v>439803.39</v>
      </c>
      <c r="O20" s="98">
        <f>G20*K20+5945.875+35739.93</f>
        <v>272907.73000000004</v>
      </c>
      <c r="P20" s="98"/>
      <c r="Q20" s="99">
        <f t="shared" si="10"/>
        <v>347766.66000000003</v>
      </c>
      <c r="R20" s="99"/>
      <c r="S20" s="99">
        <v>0</v>
      </c>
      <c r="T20" s="98">
        <f t="shared" ref="T20" si="18">SUM(N20:Q20)</f>
        <v>1060477.7800000003</v>
      </c>
      <c r="U20" s="98">
        <f t="shared" si="6"/>
        <v>1060477.7800000003</v>
      </c>
      <c r="V20" s="98">
        <f t="shared" si="6"/>
        <v>1060477.7800000003</v>
      </c>
      <c r="X20" s="93"/>
    </row>
    <row r="21" spans="1:52" ht="28.2" customHeight="1" x14ac:dyDescent="0.25">
      <c r="A21" s="487" t="s">
        <v>527</v>
      </c>
      <c r="B21" s="97" t="s">
        <v>132</v>
      </c>
      <c r="C21" s="881"/>
      <c r="D21" s="636" t="s">
        <v>130</v>
      </c>
      <c r="E21" s="104">
        <v>1</v>
      </c>
      <c r="F21" s="586">
        <v>7</v>
      </c>
      <c r="G21" s="109">
        <v>1</v>
      </c>
      <c r="H21" s="684">
        <v>1</v>
      </c>
      <c r="I21" s="684">
        <v>1</v>
      </c>
      <c r="J21" s="771">
        <v>146601.13</v>
      </c>
      <c r="K21" s="775">
        <f>52476.66+16398.21*1.5</f>
        <v>77073.975000000006</v>
      </c>
      <c r="L21" s="107">
        <v>115922.22</v>
      </c>
      <c r="M21" s="98">
        <f t="shared" si="8"/>
        <v>339597.32500000001</v>
      </c>
      <c r="N21" s="98">
        <f t="shared" si="4"/>
        <v>146601.13</v>
      </c>
      <c r="O21" s="98">
        <f t="shared" si="9"/>
        <v>77073.975000000006</v>
      </c>
      <c r="P21" s="98"/>
      <c r="Q21" s="99">
        <f t="shared" si="10"/>
        <v>115922.22</v>
      </c>
      <c r="R21" s="99"/>
      <c r="S21" s="99">
        <v>0</v>
      </c>
      <c r="T21" s="98">
        <f t="shared" si="5"/>
        <v>339597.32500000001</v>
      </c>
      <c r="U21" s="98">
        <f t="shared" si="6"/>
        <v>339597.32500000001</v>
      </c>
      <c r="V21" s="98">
        <f t="shared" si="6"/>
        <v>339597.32500000001</v>
      </c>
      <c r="X21" s="93"/>
    </row>
    <row r="22" spans="1:52" s="111" customFormat="1" ht="64.2" customHeight="1" x14ac:dyDescent="0.25">
      <c r="A22" s="90" t="s">
        <v>133</v>
      </c>
      <c r="B22" s="636" t="s">
        <v>134</v>
      </c>
      <c r="C22" s="636" t="s">
        <v>54</v>
      </c>
      <c r="D22" s="636"/>
      <c r="E22" s="110">
        <f>E14+E15+E17+E18+E21+E20+E16</f>
        <v>81</v>
      </c>
      <c r="F22" s="687">
        <f>F14+F15+F17+F18+F21+F20+F16</f>
        <v>84</v>
      </c>
      <c r="G22" s="776">
        <f>G14+G15+G17+G18+G21+G20+G16+G19</f>
        <v>84</v>
      </c>
      <c r="H22" s="776">
        <f t="shared" ref="H22:I22" si="19">H14+H15+H17+H18+H21+H20+H16+H19</f>
        <v>84</v>
      </c>
      <c r="I22" s="776">
        <f t="shared" si="19"/>
        <v>84</v>
      </c>
      <c r="J22" s="110">
        <v>0</v>
      </c>
      <c r="K22" s="110">
        <v>0</v>
      </c>
      <c r="L22" s="373">
        <f>234381.55-115922.22</f>
        <v>118459.32999999999</v>
      </c>
      <c r="M22" s="98">
        <f t="shared" si="8"/>
        <v>118459.32999999999</v>
      </c>
      <c r="N22" s="98">
        <f t="shared" si="4"/>
        <v>0</v>
      </c>
      <c r="O22" s="98">
        <f>G22*K22</f>
        <v>0</v>
      </c>
      <c r="P22" s="110">
        <f t="shared" ref="P22:S22" si="20">P14+P15+P17+P18+P21</f>
        <v>0</v>
      </c>
      <c r="Q22" s="373">
        <f>G22*L22</f>
        <v>9950583.7199999988</v>
      </c>
      <c r="R22" s="110">
        <f t="shared" si="20"/>
        <v>0</v>
      </c>
      <c r="S22" s="110">
        <f t="shared" si="20"/>
        <v>0</v>
      </c>
      <c r="T22" s="102">
        <f>SUM(N22:Q22)</f>
        <v>9950583.7199999988</v>
      </c>
      <c r="U22" s="98">
        <f>H22*L22</f>
        <v>9950583.7199999988</v>
      </c>
      <c r="V22" s="98">
        <f>I22*L22</f>
        <v>9950583.7199999988</v>
      </c>
      <c r="W22" s="342" t="e">
        <f>W14+W15+W17+W18+W21+#REF!</f>
        <v>#REF!</v>
      </c>
      <c r="X22" s="342" t="e">
        <f>X14+X15+X17+X18+X21+#REF!</f>
        <v>#REF!</v>
      </c>
      <c r="Y22" s="342" t="e">
        <f>Y14+Y15+Y17+Y18+Y21+#REF!</f>
        <v>#REF!</v>
      </c>
      <c r="Z22" s="342" t="e">
        <f>Z14+Z15+Z17+Z18+Z21+#REF!</f>
        <v>#REF!</v>
      </c>
      <c r="AA22" s="342" t="e">
        <f>AA14+AA15+AA17+AA18+AA21+#REF!</f>
        <v>#REF!</v>
      </c>
      <c r="AB22" s="342" t="e">
        <f>AB14+AB15+AB17+AB18+AB21+#REF!</f>
        <v>#REF!</v>
      </c>
      <c r="AC22" s="342" t="e">
        <f>AC14+AC15+AC17+AC18+AC21+#REF!</f>
        <v>#REF!</v>
      </c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</row>
    <row r="23" spans="1:52" s="84" customFormat="1" ht="25.95" customHeight="1" x14ac:dyDescent="0.25">
      <c r="A23" s="636"/>
      <c r="B23" s="636" t="s">
        <v>134</v>
      </c>
      <c r="C23" s="636" t="s">
        <v>135</v>
      </c>
      <c r="D23" s="636"/>
      <c r="E23" s="110"/>
      <c r="F23" s="104"/>
      <c r="G23" s="114">
        <f>G22</f>
        <v>84</v>
      </c>
      <c r="H23" s="113">
        <f>H22</f>
        <v>84</v>
      </c>
      <c r="I23" s="113">
        <f>I22</f>
        <v>84</v>
      </c>
      <c r="J23" s="99">
        <v>0</v>
      </c>
      <c r="K23" s="98">
        <v>0</v>
      </c>
      <c r="L23" s="107">
        <v>20437.68</v>
      </c>
      <c r="M23" s="98">
        <f>J23+K23+L23</f>
        <v>20437.68</v>
      </c>
      <c r="N23" s="110"/>
      <c r="O23" s="98"/>
      <c r="P23" s="98"/>
      <c r="Q23" s="99"/>
      <c r="R23" s="99"/>
      <c r="S23" s="107">
        <f>G23*L23</f>
        <v>1716765.12</v>
      </c>
      <c r="T23" s="102">
        <f>S23</f>
        <v>1716765.12</v>
      </c>
      <c r="U23" s="98">
        <f>H23*L23</f>
        <v>1716765.12</v>
      </c>
      <c r="V23" s="98">
        <f>I23*L23</f>
        <v>1716765.12</v>
      </c>
      <c r="AD23" s="83"/>
      <c r="AE23" s="83"/>
      <c r="AF23" s="83"/>
    </row>
    <row r="24" spans="1:52" ht="65.400000000000006" hidden="1" customHeight="1" x14ac:dyDescent="0.25">
      <c r="A24" s="97"/>
      <c r="B24" s="87"/>
      <c r="C24" s="97" t="s">
        <v>44</v>
      </c>
      <c r="D24" s="636"/>
      <c r="E24" s="110"/>
      <c r="F24" s="104"/>
      <c r="G24" s="104"/>
      <c r="H24" s="110"/>
      <c r="I24" s="110"/>
      <c r="J24" s="99"/>
      <c r="K24" s="98"/>
      <c r="L24" s="99"/>
      <c r="M24" s="98">
        <f t="shared" si="8"/>
        <v>0</v>
      </c>
      <c r="N24" s="110"/>
      <c r="O24" s="98"/>
      <c r="P24" s="110"/>
      <c r="Q24" s="99"/>
      <c r="R24" s="99"/>
      <c r="S24" s="99"/>
      <c r="T24" s="98">
        <f>N24+O24+P24+Q24</f>
        <v>0</v>
      </c>
      <c r="U24" s="98">
        <f>T24</f>
        <v>0</v>
      </c>
      <c r="V24" s="98">
        <f>U24</f>
        <v>0</v>
      </c>
    </row>
    <row r="25" spans="1:52" ht="24.6" hidden="1" customHeight="1" x14ac:dyDescent="0.25">
      <c r="A25" s="97"/>
      <c r="B25" s="87"/>
      <c r="C25" s="97"/>
      <c r="D25" s="636"/>
      <c r="E25" s="110"/>
      <c r="F25" s="104"/>
      <c r="G25" s="104"/>
      <c r="H25" s="110"/>
      <c r="I25" s="110"/>
      <c r="J25" s="99"/>
      <c r="K25" s="98"/>
      <c r="L25" s="99"/>
      <c r="M25" s="98">
        <f t="shared" si="8"/>
        <v>0</v>
      </c>
      <c r="N25" s="110"/>
      <c r="O25" s="98"/>
      <c r="P25" s="110"/>
      <c r="Q25" s="99"/>
      <c r="R25" s="99"/>
      <c r="S25" s="99"/>
      <c r="T25" s="98">
        <f>O25</f>
        <v>0</v>
      </c>
      <c r="U25" s="98">
        <f>T25</f>
        <v>0</v>
      </c>
      <c r="V25" s="98">
        <f>U25</f>
        <v>0</v>
      </c>
    </row>
    <row r="26" spans="1:52" ht="21" customHeight="1" x14ac:dyDescent="0.25">
      <c r="A26" s="96" t="s">
        <v>136</v>
      </c>
      <c r="B26" s="97"/>
      <c r="C26" s="97"/>
      <c r="D26" s="112"/>
      <c r="E26" s="113"/>
      <c r="F26" s="114"/>
      <c r="G26" s="114"/>
      <c r="H26" s="113"/>
      <c r="I26" s="113"/>
      <c r="J26" s="101"/>
      <c r="K26" s="98"/>
      <c r="L26" s="115"/>
      <c r="M26" s="98">
        <f t="shared" si="8"/>
        <v>0</v>
      </c>
      <c r="N26" s="101">
        <f>N27</f>
        <v>11417185.440000001</v>
      </c>
      <c r="O26" s="101">
        <f>O27</f>
        <v>6303828.3099999996</v>
      </c>
      <c r="P26" s="114">
        <f>P27</f>
        <v>0</v>
      </c>
      <c r="Q26" s="777">
        <f>(Q27+Q39)</f>
        <v>9906641.9600000009</v>
      </c>
      <c r="R26" s="101">
        <f>R27</f>
        <v>0</v>
      </c>
      <c r="S26" s="101">
        <f>S40</f>
        <v>1512388.32</v>
      </c>
      <c r="T26" s="101">
        <f>T27+T39+T40</f>
        <v>29140044.030000005</v>
      </c>
      <c r="U26" s="101">
        <f t="shared" ref="U26:V26" si="21">U27+U39+U40</f>
        <v>29940723.070000004</v>
      </c>
      <c r="V26" s="101">
        <f t="shared" si="21"/>
        <v>29940723.070000004</v>
      </c>
      <c r="W26" s="83">
        <v>6438122.5499999998</v>
      </c>
      <c r="X26" s="93">
        <f>W26-Q26</f>
        <v>-3468519.4100000011</v>
      </c>
      <c r="Y26" s="83">
        <f>X26/108</f>
        <v>-32115.920462962971</v>
      </c>
      <c r="AA26" s="83">
        <v>6003686.5499999998</v>
      </c>
      <c r="AB26" s="93">
        <f>AA26-Q26</f>
        <v>-3902955.4100000011</v>
      </c>
      <c r="AC26" s="83">
        <f>AB26/I39</f>
        <v>-45917.122470588249</v>
      </c>
    </row>
    <row r="27" spans="1:52" ht="69" x14ac:dyDescent="0.25">
      <c r="A27" s="92" t="s">
        <v>127</v>
      </c>
      <c r="B27" s="87" t="s">
        <v>128</v>
      </c>
      <c r="C27" s="87"/>
      <c r="D27" s="636"/>
      <c r="E27" s="110"/>
      <c r="F27" s="104"/>
      <c r="G27" s="104"/>
      <c r="H27" s="110"/>
      <c r="I27" s="110"/>
      <c r="J27" s="99"/>
      <c r="K27" s="98"/>
      <c r="L27" s="99"/>
      <c r="M27" s="98"/>
      <c r="N27" s="98">
        <f>SUM(N28:N38)</f>
        <v>11417185.440000001</v>
      </c>
      <c r="O27" s="98">
        <f t="shared" ref="O27:V27" si="22">SUM(O28:O38)</f>
        <v>6303828.3099999996</v>
      </c>
      <c r="P27" s="98">
        <f t="shared" si="22"/>
        <v>0</v>
      </c>
      <c r="Q27" s="373">
        <f>SUM(Q28:Q38)</f>
        <v>5354823.5199999996</v>
      </c>
      <c r="R27" s="98">
        <f t="shared" si="22"/>
        <v>0</v>
      </c>
      <c r="S27" s="98">
        <f t="shared" si="22"/>
        <v>0</v>
      </c>
      <c r="T27" s="102">
        <f t="shared" si="22"/>
        <v>23075837.270000003</v>
      </c>
      <c r="U27" s="98">
        <f>SUM(U28:U38)</f>
        <v>22975080.170000002</v>
      </c>
      <c r="V27" s="98">
        <f t="shared" si="22"/>
        <v>22975080.170000002</v>
      </c>
      <c r="W27" s="93">
        <v>18835786.280000001</v>
      </c>
      <c r="Y27" s="93"/>
      <c r="AA27" s="93"/>
      <c r="AE27" s="93">
        <v>9163178.5700000003</v>
      </c>
      <c r="AF27" s="93">
        <v>9360490.3800000008</v>
      </c>
      <c r="AG27" s="644">
        <f>AE27/AF27</f>
        <v>0.97892078278061323</v>
      </c>
    </row>
    <row r="28" spans="1:52" ht="40.200000000000003" customHeight="1" x14ac:dyDescent="0.25">
      <c r="A28" s="92"/>
      <c r="B28" s="97" t="s">
        <v>129</v>
      </c>
      <c r="C28" s="868" t="s">
        <v>477</v>
      </c>
      <c r="D28" s="636" t="s">
        <v>130</v>
      </c>
      <c r="E28" s="104">
        <v>0</v>
      </c>
      <c r="F28" s="586">
        <v>12</v>
      </c>
      <c r="G28" s="586">
        <f>11</f>
        <v>11</v>
      </c>
      <c r="H28" s="684">
        <v>20</v>
      </c>
      <c r="I28" s="684">
        <v>20</v>
      </c>
      <c r="J28" s="99">
        <v>62813.1</v>
      </c>
      <c r="K28" s="98">
        <f>46867.01+13060.92</f>
        <v>59927.93</v>
      </c>
      <c r="L28" s="107">
        <v>72362.48</v>
      </c>
      <c r="M28" s="98">
        <f t="shared" si="8"/>
        <v>195103.51</v>
      </c>
      <c r="N28" s="98">
        <f>G28*J28</f>
        <v>690944.1</v>
      </c>
      <c r="O28" s="98">
        <f>G28*K28</f>
        <v>659207.23</v>
      </c>
      <c r="P28" s="110"/>
      <c r="Q28" s="99">
        <f t="shared" ref="Q28:Q38" si="23">G28*L28</f>
        <v>795987.27999999991</v>
      </c>
      <c r="R28" s="99"/>
      <c r="S28" s="99"/>
      <c r="T28" s="98">
        <f t="shared" ref="T28:T35" si="24">SUM(N28:Q28)</f>
        <v>2146138.61</v>
      </c>
      <c r="U28" s="98">
        <f>T28</f>
        <v>2146138.61</v>
      </c>
      <c r="V28" s="98">
        <f>U28</f>
        <v>2146138.61</v>
      </c>
      <c r="X28" s="93">
        <f>W27-U26</f>
        <v>-11104936.790000003</v>
      </c>
      <c r="AE28" s="93"/>
      <c r="AF28" s="93">
        <f>AF27*AG27</f>
        <v>9163178.5700000003</v>
      </c>
      <c r="AG28" s="93"/>
    </row>
    <row r="29" spans="1:52" ht="63" customHeight="1" x14ac:dyDescent="0.25">
      <c r="A29" s="92"/>
      <c r="B29" s="97" t="s">
        <v>338</v>
      </c>
      <c r="C29" s="871"/>
      <c r="D29" s="636" t="s">
        <v>130</v>
      </c>
      <c r="E29" s="104">
        <v>0</v>
      </c>
      <c r="F29" s="586">
        <v>1</v>
      </c>
      <c r="G29" s="114">
        <f>2</f>
        <v>2</v>
      </c>
      <c r="H29" s="114">
        <v>0</v>
      </c>
      <c r="I29" s="114">
        <v>0</v>
      </c>
      <c r="J29" s="99">
        <v>62813.1</v>
      </c>
      <c r="K29" s="98">
        <f>46867.01+13060.92</f>
        <v>59927.93</v>
      </c>
      <c r="L29" s="107">
        <v>72362.48</v>
      </c>
      <c r="M29" s="98">
        <f t="shared" si="8"/>
        <v>195103.51</v>
      </c>
      <c r="N29" s="98">
        <f t="shared" ref="N29:N38" si="25">G29*J29</f>
        <v>125626.2</v>
      </c>
      <c r="O29" s="98">
        <f t="shared" ref="O29:O38" si="26">G29*K29</f>
        <v>119855.86</v>
      </c>
      <c r="P29" s="110"/>
      <c r="Q29" s="99">
        <f t="shared" si="23"/>
        <v>144724.96</v>
      </c>
      <c r="R29" s="99"/>
      <c r="S29" s="99"/>
      <c r="T29" s="98">
        <f t="shared" si="24"/>
        <v>390207.02</v>
      </c>
      <c r="U29" s="98">
        <v>0</v>
      </c>
      <c r="V29" s="98">
        <f>U29</f>
        <v>0</v>
      </c>
      <c r="AE29" s="93"/>
      <c r="AF29" s="93"/>
      <c r="AG29" s="93"/>
    </row>
    <row r="30" spans="1:52" ht="74.400000000000006" customHeight="1" x14ac:dyDescent="0.25">
      <c r="A30" s="92"/>
      <c r="B30" s="97" t="s">
        <v>338</v>
      </c>
      <c r="C30" s="868" t="s">
        <v>297</v>
      </c>
      <c r="D30" s="636" t="s">
        <v>130</v>
      </c>
      <c r="E30" s="104">
        <v>0</v>
      </c>
      <c r="F30" s="104">
        <v>0</v>
      </c>
      <c r="G30" s="104">
        <f t="shared" ref="G30" si="27">((E30*8)+(F30*4))/12</f>
        <v>0</v>
      </c>
      <c r="H30" s="104">
        <f>7-7</f>
        <v>0</v>
      </c>
      <c r="I30" s="104">
        <f>7-7</f>
        <v>0</v>
      </c>
      <c r="J30" s="99">
        <v>209100.19</v>
      </c>
      <c r="K30" s="98">
        <f>70240.51+13060.92*2</f>
        <v>96362.349999999991</v>
      </c>
      <c r="L30" s="107">
        <v>72362.48</v>
      </c>
      <c r="M30" s="98">
        <f t="shared" si="8"/>
        <v>377825.01999999996</v>
      </c>
      <c r="N30" s="98">
        <f t="shared" si="25"/>
        <v>0</v>
      </c>
      <c r="O30" s="98">
        <f t="shared" si="26"/>
        <v>0</v>
      </c>
      <c r="P30" s="110"/>
      <c r="Q30" s="99">
        <f t="shared" si="23"/>
        <v>0</v>
      </c>
      <c r="R30" s="99"/>
      <c r="S30" s="99"/>
      <c r="T30" s="98">
        <f t="shared" si="24"/>
        <v>0</v>
      </c>
      <c r="U30" s="98">
        <f>T30</f>
        <v>0</v>
      </c>
      <c r="V30" s="98">
        <f>U30</f>
        <v>0</v>
      </c>
      <c r="AE30" s="93"/>
      <c r="AF30" s="93"/>
      <c r="AG30" s="93"/>
    </row>
    <row r="31" spans="1:52" ht="31.2" customHeight="1" x14ac:dyDescent="0.25">
      <c r="A31" s="92"/>
      <c r="B31" s="97" t="s">
        <v>340</v>
      </c>
      <c r="C31" s="883"/>
      <c r="D31" s="636" t="s">
        <v>130</v>
      </c>
      <c r="E31" s="104">
        <v>43</v>
      </c>
      <c r="F31" s="586">
        <v>42</v>
      </c>
      <c r="G31" s="586">
        <v>42</v>
      </c>
      <c r="H31" s="684">
        <f>42+3</f>
        <v>45</v>
      </c>
      <c r="I31" s="684">
        <f>42+3</f>
        <v>45</v>
      </c>
      <c r="J31" s="99">
        <v>209100.19</v>
      </c>
      <c r="K31" s="98">
        <f>70240.51+13060.92*2</f>
        <v>96362.349999999991</v>
      </c>
      <c r="L31" s="107">
        <v>72362.48</v>
      </c>
      <c r="M31" s="98">
        <f t="shared" si="8"/>
        <v>377825.01999999996</v>
      </c>
      <c r="N31" s="98">
        <f>G31*J31</f>
        <v>8782207.9800000004</v>
      </c>
      <c r="O31" s="98">
        <f>G31*K31+379882.75-203012.01+526176.14+96362.35-24010.58-245970.1</f>
        <v>4576647.2499999991</v>
      </c>
      <c r="P31" s="110"/>
      <c r="Q31" s="99">
        <f t="shared" si="23"/>
        <v>3039224.1599999997</v>
      </c>
      <c r="R31" s="99"/>
      <c r="S31" s="99"/>
      <c r="T31" s="98">
        <f t="shared" si="24"/>
        <v>16398079.390000001</v>
      </c>
      <c r="U31" s="98">
        <f>(N31+O31)+(H31*L31)</f>
        <v>16615166.83</v>
      </c>
      <c r="V31" s="98">
        <f>(N31+O31)+(I31*L31)</f>
        <v>16615166.83</v>
      </c>
      <c r="AE31" s="93"/>
      <c r="AF31" s="93"/>
      <c r="AG31" s="93"/>
    </row>
    <row r="32" spans="1:52" ht="31.2" customHeight="1" x14ac:dyDescent="0.25">
      <c r="A32" s="487" t="s">
        <v>527</v>
      </c>
      <c r="B32" s="97" t="s">
        <v>340</v>
      </c>
      <c r="C32" s="868" t="s">
        <v>478</v>
      </c>
      <c r="D32" s="636" t="s">
        <v>130</v>
      </c>
      <c r="E32" s="104">
        <v>1</v>
      </c>
      <c r="F32" s="586">
        <f>1</f>
        <v>1</v>
      </c>
      <c r="G32" s="109">
        <v>1</v>
      </c>
      <c r="H32" s="684">
        <f>1-1</f>
        <v>0</v>
      </c>
      <c r="I32" s="684">
        <f>1-1</f>
        <v>0</v>
      </c>
      <c r="J32" s="99">
        <v>95705.64</v>
      </c>
      <c r="K32" s="98">
        <f>35180.26+13060.92</f>
        <v>48241.18</v>
      </c>
      <c r="L32" s="107">
        <v>72362.48</v>
      </c>
      <c r="M32" s="98">
        <f t="shared" si="8"/>
        <v>216309.3</v>
      </c>
      <c r="N32" s="98">
        <f t="shared" si="25"/>
        <v>95705.64</v>
      </c>
      <c r="O32" s="98">
        <f>G32*K32+31535.55</f>
        <v>79776.73</v>
      </c>
      <c r="P32" s="110"/>
      <c r="Q32" s="99">
        <f t="shared" si="23"/>
        <v>72362.48</v>
      </c>
      <c r="R32" s="99"/>
      <c r="S32" s="99"/>
      <c r="T32" s="98">
        <f t="shared" si="24"/>
        <v>247844.84999999998</v>
      </c>
      <c r="U32" s="98">
        <f>(N32+O32)+(H32*L32)</f>
        <v>175482.37</v>
      </c>
      <c r="V32" s="98">
        <f>(N32+O32)+(I32*L32)</f>
        <v>175482.37</v>
      </c>
      <c r="AE32" s="93"/>
      <c r="AF32" s="93"/>
      <c r="AG32" s="93"/>
    </row>
    <row r="33" spans="1:33" ht="30" customHeight="1" x14ac:dyDescent="0.25">
      <c r="A33" s="92"/>
      <c r="B33" s="97" t="s">
        <v>334</v>
      </c>
      <c r="C33" s="870"/>
      <c r="D33" s="636"/>
      <c r="E33" s="104">
        <v>1</v>
      </c>
      <c r="F33" s="586">
        <v>1</v>
      </c>
      <c r="G33" s="586">
        <v>5</v>
      </c>
      <c r="H33" s="104">
        <v>0</v>
      </c>
      <c r="I33" s="104">
        <f>1-1</f>
        <v>0</v>
      </c>
      <c r="J33" s="99">
        <v>95705.64</v>
      </c>
      <c r="K33" s="98">
        <f>35180.26+13060.92</f>
        <v>48241.18</v>
      </c>
      <c r="L33" s="107">
        <v>72362.48</v>
      </c>
      <c r="M33" s="98">
        <f t="shared" ref="M33" si="28">J33+K33+L33</f>
        <v>216309.3</v>
      </c>
      <c r="N33" s="98">
        <f t="shared" ref="N33" si="29">G33*J33</f>
        <v>478528.2</v>
      </c>
      <c r="O33" s="98">
        <f>G33*K33</f>
        <v>241205.9</v>
      </c>
      <c r="P33" s="110"/>
      <c r="Q33" s="99">
        <f t="shared" ref="Q33" si="30">G33*L33</f>
        <v>361812.39999999997</v>
      </c>
      <c r="R33" s="99"/>
      <c r="S33" s="99"/>
      <c r="T33" s="98">
        <f t="shared" ref="T33" si="31">SUM(N33:Q33)</f>
        <v>1081546.5</v>
      </c>
      <c r="U33" s="98">
        <f>(N33+O33)+(H33*L33)</f>
        <v>719734.1</v>
      </c>
      <c r="V33" s="98">
        <f>(N33+O33)+(I33*L33)</f>
        <v>719734.1</v>
      </c>
      <c r="AE33" s="93"/>
      <c r="AF33" s="93"/>
      <c r="AG33" s="93"/>
    </row>
    <row r="34" spans="1:33" ht="35.4" customHeight="1" x14ac:dyDescent="0.25">
      <c r="A34" s="92"/>
      <c r="B34" s="97" t="s">
        <v>129</v>
      </c>
      <c r="C34" s="870"/>
      <c r="D34" s="636" t="s">
        <v>130</v>
      </c>
      <c r="E34" s="104">
        <v>18</v>
      </c>
      <c r="F34" s="586">
        <v>4</v>
      </c>
      <c r="G34" s="684">
        <v>0</v>
      </c>
      <c r="H34" s="684">
        <v>0</v>
      </c>
      <c r="I34" s="684">
        <v>0</v>
      </c>
      <c r="J34" s="99">
        <v>95705.64</v>
      </c>
      <c r="K34" s="98">
        <f>35180.26+13060.92</f>
        <v>48241.18</v>
      </c>
      <c r="L34" s="107">
        <v>72362.48</v>
      </c>
      <c r="M34" s="98">
        <f t="shared" ref="M34" si="32">J34+K34+L34</f>
        <v>216309.3</v>
      </c>
      <c r="N34" s="98">
        <f t="shared" ref="N34" si="33">G34*J34</f>
        <v>0</v>
      </c>
      <c r="O34" s="98">
        <f>G34*K34</f>
        <v>0</v>
      </c>
      <c r="P34" s="110"/>
      <c r="Q34" s="99">
        <f>G34*L34</f>
        <v>0</v>
      </c>
      <c r="R34" s="99"/>
      <c r="S34" s="99"/>
      <c r="T34" s="98">
        <f t="shared" ref="T34" si="34">SUM(N34:Q34)</f>
        <v>0</v>
      </c>
      <c r="U34" s="98">
        <f>(N34+O34)+(H34*L34)</f>
        <v>0</v>
      </c>
      <c r="V34" s="98">
        <f>(N34+O34)+(I34*L34)</f>
        <v>0</v>
      </c>
      <c r="AE34" s="93"/>
      <c r="AF34" s="93"/>
      <c r="AG34" s="93"/>
    </row>
    <row r="35" spans="1:33" ht="37.950000000000003" customHeight="1" x14ac:dyDescent="0.25">
      <c r="A35" s="92"/>
      <c r="B35" s="92" t="s">
        <v>360</v>
      </c>
      <c r="C35" s="870"/>
      <c r="D35" s="636" t="s">
        <v>130</v>
      </c>
      <c r="E35" s="104">
        <f>16-1</f>
        <v>15</v>
      </c>
      <c r="F35" s="586">
        <v>13</v>
      </c>
      <c r="G35" s="586">
        <f>13</f>
        <v>13</v>
      </c>
      <c r="H35" s="684">
        <v>20</v>
      </c>
      <c r="I35" s="684">
        <v>20</v>
      </c>
      <c r="J35" s="99">
        <v>95705.64</v>
      </c>
      <c r="K35" s="98">
        <f>35180.26+13060.92</f>
        <v>48241.18</v>
      </c>
      <c r="L35" s="107">
        <v>72362.48</v>
      </c>
      <c r="M35" s="98">
        <f t="shared" si="8"/>
        <v>216309.3</v>
      </c>
      <c r="N35" s="98">
        <f t="shared" si="25"/>
        <v>1244173.32</v>
      </c>
      <c r="O35" s="98">
        <f t="shared" si="26"/>
        <v>627135.34</v>
      </c>
      <c r="P35" s="110"/>
      <c r="Q35" s="99">
        <f t="shared" si="23"/>
        <v>940712.24</v>
      </c>
      <c r="R35" s="99"/>
      <c r="S35" s="99"/>
      <c r="T35" s="98">
        <f t="shared" si="24"/>
        <v>2812020.9000000004</v>
      </c>
      <c r="U35" s="98">
        <f>(N35+O35)+(H35*L35)</f>
        <v>3318558.26</v>
      </c>
      <c r="V35" s="98">
        <f>U35</f>
        <v>3318558.26</v>
      </c>
    </row>
    <row r="36" spans="1:33" ht="25.95" customHeight="1" x14ac:dyDescent="0.25">
      <c r="A36" s="92"/>
      <c r="B36" s="87"/>
      <c r="C36" s="634"/>
      <c r="D36" s="636" t="s">
        <v>130</v>
      </c>
      <c r="E36" s="104"/>
      <c r="F36" s="586"/>
      <c r="G36" s="684">
        <v>0</v>
      </c>
      <c r="H36" s="684"/>
      <c r="I36" s="684"/>
      <c r="J36" s="108"/>
      <c r="K36" s="98">
        <f t="shared" ref="K36" si="35">25496.5+10442.34</f>
        <v>35938.839999999997</v>
      </c>
      <c r="L36" s="107">
        <v>72362.48</v>
      </c>
      <c r="M36" s="98">
        <f t="shared" si="8"/>
        <v>108301.31999999999</v>
      </c>
      <c r="N36" s="98">
        <f t="shared" si="25"/>
        <v>0</v>
      </c>
      <c r="O36" s="98">
        <f t="shared" si="26"/>
        <v>0</v>
      </c>
      <c r="P36" s="110"/>
      <c r="Q36" s="99">
        <f t="shared" si="23"/>
        <v>0</v>
      </c>
      <c r="R36" s="99"/>
      <c r="S36" s="99"/>
      <c r="T36" s="98">
        <f t="shared" ref="T36:T38" si="36">SUM(N36:Q36)</f>
        <v>0</v>
      </c>
      <c r="U36" s="106">
        <f t="shared" ref="U36:U38" si="37">(N36+O36)+(H36*L36)</f>
        <v>0</v>
      </c>
      <c r="V36" s="106">
        <f t="shared" ref="V36:V37" si="38">U36</f>
        <v>0</v>
      </c>
    </row>
    <row r="37" spans="1:33" ht="30" customHeight="1" x14ac:dyDescent="0.25">
      <c r="A37" s="92"/>
      <c r="B37" s="97" t="s">
        <v>340</v>
      </c>
      <c r="C37" s="634"/>
      <c r="D37" s="636" t="s">
        <v>130</v>
      </c>
      <c r="E37" s="104">
        <v>0</v>
      </c>
      <c r="F37" s="586">
        <f>3-3</f>
        <v>0</v>
      </c>
      <c r="G37" s="684">
        <v>0</v>
      </c>
      <c r="H37" s="684">
        <f>3-3</f>
        <v>0</v>
      </c>
      <c r="I37" s="684">
        <f>3-3</f>
        <v>0</v>
      </c>
      <c r="J37" s="108">
        <v>95705.64</v>
      </c>
      <c r="K37" s="98">
        <f>25496.5+10788.57+203012.01</f>
        <v>239297.08000000002</v>
      </c>
      <c r="L37" s="107">
        <v>72362.48</v>
      </c>
      <c r="M37" s="98">
        <f t="shared" si="8"/>
        <v>407365.2</v>
      </c>
      <c r="N37" s="98">
        <f t="shared" si="25"/>
        <v>0</v>
      </c>
      <c r="O37" s="98">
        <f>G37*K37</f>
        <v>0</v>
      </c>
      <c r="P37" s="110"/>
      <c r="Q37" s="99">
        <f t="shared" si="23"/>
        <v>0</v>
      </c>
      <c r="R37" s="99"/>
      <c r="S37" s="99"/>
      <c r="T37" s="98">
        <f t="shared" si="36"/>
        <v>0</v>
      </c>
      <c r="U37" s="106">
        <f t="shared" si="37"/>
        <v>0</v>
      </c>
      <c r="V37" s="106">
        <f t="shared" si="38"/>
        <v>0</v>
      </c>
    </row>
    <row r="38" spans="1:33" ht="28.2" customHeight="1" x14ac:dyDescent="0.25">
      <c r="A38" s="92"/>
      <c r="B38" s="97" t="s">
        <v>340</v>
      </c>
      <c r="C38" s="633"/>
      <c r="D38" s="636" t="s">
        <v>130</v>
      </c>
      <c r="E38" s="104">
        <v>0</v>
      </c>
      <c r="F38" s="586">
        <v>0</v>
      </c>
      <c r="G38" s="109">
        <v>0</v>
      </c>
      <c r="H38" s="109">
        <v>0</v>
      </c>
      <c r="I38" s="109">
        <v>0</v>
      </c>
      <c r="J38" s="108">
        <v>95705.64</v>
      </c>
      <c r="K38" s="98">
        <f>25496.5+10788.57</f>
        <v>36285.07</v>
      </c>
      <c r="L38" s="107">
        <v>72362.48</v>
      </c>
      <c r="M38" s="98">
        <f t="shared" si="8"/>
        <v>204353.19</v>
      </c>
      <c r="N38" s="98">
        <f t="shared" si="25"/>
        <v>0</v>
      </c>
      <c r="O38" s="98">
        <f t="shared" si="26"/>
        <v>0</v>
      </c>
      <c r="P38" s="110"/>
      <c r="Q38" s="99">
        <f t="shared" si="23"/>
        <v>0</v>
      </c>
      <c r="R38" s="99"/>
      <c r="S38" s="99"/>
      <c r="T38" s="98">
        <f t="shared" si="36"/>
        <v>0</v>
      </c>
      <c r="U38" s="106">
        <f t="shared" si="37"/>
        <v>0</v>
      </c>
      <c r="V38" s="373">
        <v>0</v>
      </c>
    </row>
    <row r="39" spans="1:33" ht="63.6" customHeight="1" x14ac:dyDescent="0.25">
      <c r="A39" s="92" t="s">
        <v>133</v>
      </c>
      <c r="B39" s="97" t="s">
        <v>137</v>
      </c>
      <c r="C39" s="97" t="s">
        <v>54</v>
      </c>
      <c r="D39" s="636" t="s">
        <v>130</v>
      </c>
      <c r="E39" s="114">
        <f>E28+E29+E30+E31+E35+E38+E37+E32+E34+E33</f>
        <v>78</v>
      </c>
      <c r="F39" s="683">
        <f t="shared" ref="F39:I39" si="39">F28+F29+F30+F31+F35+F38+F37+F32+F34+F33</f>
        <v>74</v>
      </c>
      <c r="G39" s="683">
        <f>G28+G29+G30+G31+G35+G38+G37+G32+G34+G33</f>
        <v>74</v>
      </c>
      <c r="H39" s="109">
        <f t="shared" si="39"/>
        <v>85</v>
      </c>
      <c r="I39" s="109">
        <f t="shared" si="39"/>
        <v>85</v>
      </c>
      <c r="J39" s="99">
        <v>0</v>
      </c>
      <c r="K39" s="99">
        <v>0</v>
      </c>
      <c r="L39" s="107">
        <f>133873.54-72362.48</f>
        <v>61511.060000000012</v>
      </c>
      <c r="M39" s="99">
        <f>J39+K39+L39</f>
        <v>61511.060000000012</v>
      </c>
      <c r="N39" s="99">
        <f>G39*J39</f>
        <v>0</v>
      </c>
      <c r="O39" s="99">
        <f>G39*K39</f>
        <v>0</v>
      </c>
      <c r="P39" s="105">
        <f t="shared" ref="P39:R39" si="40">P28+P29+P30+P31+P35+P38+P37</f>
        <v>0</v>
      </c>
      <c r="Q39" s="107">
        <f>G39*L39</f>
        <v>4551818.4400000013</v>
      </c>
      <c r="R39" s="109">
        <f t="shared" si="40"/>
        <v>0</v>
      </c>
      <c r="S39" s="109"/>
      <c r="T39" s="102">
        <f>SUM(N39:Q39)</f>
        <v>4551818.4400000013</v>
      </c>
      <c r="U39" s="101">
        <f>H39*L39</f>
        <v>5228440.1000000015</v>
      </c>
      <c r="V39" s="101">
        <f>I39*L39</f>
        <v>5228440.1000000015</v>
      </c>
    </row>
    <row r="40" spans="1:33" ht="27" customHeight="1" x14ac:dyDescent="0.25">
      <c r="A40" s="490" t="s">
        <v>475</v>
      </c>
      <c r="B40" s="97" t="s">
        <v>137</v>
      </c>
      <c r="C40" s="97" t="s">
        <v>135</v>
      </c>
      <c r="D40" s="636"/>
      <c r="E40" s="110"/>
      <c r="F40" s="104"/>
      <c r="G40" s="109">
        <f>G39-G32+1</f>
        <v>74</v>
      </c>
      <c r="H40" s="114">
        <f>H39-H32</f>
        <v>85</v>
      </c>
      <c r="I40" s="114">
        <f>I39-I38</f>
        <v>85</v>
      </c>
      <c r="J40" s="99"/>
      <c r="K40" s="98"/>
      <c r="L40" s="107">
        <f>2542*12*0.67</f>
        <v>20437.68</v>
      </c>
      <c r="M40" s="98">
        <f t="shared" si="8"/>
        <v>20437.68</v>
      </c>
      <c r="N40" s="110"/>
      <c r="O40" s="98"/>
      <c r="P40" s="110"/>
      <c r="Q40" s="99">
        <f>G40*L40</f>
        <v>1512388.32</v>
      </c>
      <c r="R40" s="99"/>
      <c r="S40" s="107">
        <f>G40*L40</f>
        <v>1512388.32</v>
      </c>
      <c r="T40" s="102">
        <f>S40</f>
        <v>1512388.32</v>
      </c>
      <c r="U40" s="102">
        <f>H40*L40</f>
        <v>1737202.8</v>
      </c>
      <c r="V40" s="102">
        <f>I40*L40</f>
        <v>1737202.8</v>
      </c>
    </row>
    <row r="41" spans="1:33" ht="22.2" customHeight="1" x14ac:dyDescent="0.25">
      <c r="A41" s="112" t="s">
        <v>141</v>
      </c>
      <c r="B41" s="96"/>
      <c r="C41" s="96"/>
      <c r="D41" s="112"/>
      <c r="E41" s="113"/>
      <c r="F41" s="114"/>
      <c r="G41" s="114"/>
      <c r="H41" s="113"/>
      <c r="I41" s="113"/>
      <c r="J41" s="101"/>
      <c r="K41" s="98"/>
      <c r="L41" s="101"/>
      <c r="M41" s="98">
        <f t="shared" si="8"/>
        <v>0</v>
      </c>
      <c r="N41" s="101">
        <f>N42</f>
        <v>13537913.15</v>
      </c>
      <c r="O41" s="101">
        <f>O42</f>
        <v>6733543.5700000003</v>
      </c>
      <c r="P41" s="101"/>
      <c r="Q41" s="777">
        <f>Q42+Q53</f>
        <v>12985733.379999999</v>
      </c>
      <c r="R41" s="101"/>
      <c r="S41" s="101">
        <f>S54</f>
        <v>1982454.96</v>
      </c>
      <c r="T41" s="101">
        <f>T42+T53+T54</f>
        <v>35239645.059999995</v>
      </c>
      <c r="U41" s="102">
        <f>U42+U53+U54</f>
        <v>35239646.059999995</v>
      </c>
      <c r="V41" s="102">
        <f>V42+V53+V54</f>
        <v>35239646.059999995</v>
      </c>
      <c r="W41" s="116">
        <v>10231531.529999999</v>
      </c>
      <c r="X41" s="93">
        <f>W41-Q41</f>
        <v>-2754201.8499999996</v>
      </c>
      <c r="Y41" s="83">
        <f>X41/G53</f>
        <v>-28393.833505154635</v>
      </c>
      <c r="AA41" s="83">
        <v>10354392.529999999</v>
      </c>
      <c r="AB41" s="93">
        <f>AA41-Q41</f>
        <v>-2631340.8499999996</v>
      </c>
      <c r="AC41" s="83">
        <f>AB41/I53</f>
        <v>-27127.225257731956</v>
      </c>
    </row>
    <row r="42" spans="1:33" ht="70.95" customHeight="1" x14ac:dyDescent="0.25">
      <c r="A42" s="92" t="s">
        <v>127</v>
      </c>
      <c r="B42" s="87" t="s">
        <v>128</v>
      </c>
      <c r="C42" s="87"/>
      <c r="D42" s="636"/>
      <c r="E42" s="110"/>
      <c r="F42" s="104"/>
      <c r="G42" s="104"/>
      <c r="H42" s="110"/>
      <c r="I42" s="110"/>
      <c r="J42" s="99"/>
      <c r="K42" s="98"/>
      <c r="L42" s="99"/>
      <c r="M42" s="98"/>
      <c r="N42" s="98">
        <f>SUM(N43:N52)</f>
        <v>13537913.15</v>
      </c>
      <c r="O42" s="98">
        <f>SUM(O43:O52)</f>
        <v>6733543.5700000003</v>
      </c>
      <c r="P42" s="110"/>
      <c r="Q42" s="107">
        <f>SUM(Q43:Q49)-1</f>
        <v>7019160.5599999996</v>
      </c>
      <c r="R42" s="99"/>
      <c r="S42" s="99"/>
      <c r="T42" s="102">
        <f>SUM(T43:T52)-1</f>
        <v>27290617.279999997</v>
      </c>
      <c r="U42" s="98">
        <f>SUM(U43:U52)</f>
        <v>27290618.279999997</v>
      </c>
      <c r="V42" s="98">
        <f>SUM(V43:V52)</f>
        <v>27290618.279999997</v>
      </c>
      <c r="W42" s="93">
        <v>29143419.530000001</v>
      </c>
      <c r="X42" s="93"/>
      <c r="AA42" s="93">
        <f>29143419.53+U54</f>
        <v>31125874.490000002</v>
      </c>
      <c r="AB42" s="93">
        <f>U41-AA42</f>
        <v>4113771.5699999928</v>
      </c>
    </row>
    <row r="43" spans="1:33" ht="45" customHeight="1" x14ac:dyDescent="0.25">
      <c r="A43" s="92"/>
      <c r="B43" s="97" t="s">
        <v>129</v>
      </c>
      <c r="C43" s="868" t="s">
        <v>298</v>
      </c>
      <c r="D43" s="636" t="s">
        <v>130</v>
      </c>
      <c r="E43" s="104">
        <f>16+1</f>
        <v>17</v>
      </c>
      <c r="F43" s="586">
        <v>12</v>
      </c>
      <c r="G43" s="684">
        <v>12</v>
      </c>
      <c r="H43" s="684">
        <v>12</v>
      </c>
      <c r="I43" s="684">
        <v>12</v>
      </c>
      <c r="J43" s="99">
        <v>62813.1</v>
      </c>
      <c r="K43" s="98">
        <f>46867.01+12632.95</f>
        <v>59499.960000000006</v>
      </c>
      <c r="L43" s="107">
        <v>72362.48</v>
      </c>
      <c r="M43" s="98">
        <f t="shared" si="8"/>
        <v>194675.53999999998</v>
      </c>
      <c r="N43" s="98">
        <f t="shared" ref="N43:N49" si="41">G43*J43</f>
        <v>753757.2</v>
      </c>
      <c r="O43" s="98">
        <f>G43*K43</f>
        <v>713999.52</v>
      </c>
      <c r="P43" s="110"/>
      <c r="Q43" s="99">
        <f>G43*L43</f>
        <v>868349.76</v>
      </c>
      <c r="R43" s="99"/>
      <c r="S43" s="99"/>
      <c r="T43" s="98">
        <f t="shared" ref="T43:T49" si="42">SUM(N43:Q43)</f>
        <v>2336106.48</v>
      </c>
      <c r="U43" s="98">
        <f t="shared" ref="U43:V53" si="43">T43</f>
        <v>2336106.48</v>
      </c>
      <c r="V43" s="98">
        <f t="shared" si="43"/>
        <v>2336106.48</v>
      </c>
      <c r="X43" s="93">
        <f>W42-U41</f>
        <v>-6096226.5299999937</v>
      </c>
    </row>
    <row r="44" spans="1:33" ht="55.95" customHeight="1" x14ac:dyDescent="0.25">
      <c r="A44" s="92"/>
      <c r="B44" s="97" t="s">
        <v>342</v>
      </c>
      <c r="C44" s="871"/>
      <c r="D44" s="636" t="s">
        <v>130</v>
      </c>
      <c r="E44" s="104">
        <v>1</v>
      </c>
      <c r="F44" s="586">
        <v>0</v>
      </c>
      <c r="G44" s="684">
        <v>0</v>
      </c>
      <c r="H44" s="684">
        <v>0</v>
      </c>
      <c r="I44" s="684">
        <v>0</v>
      </c>
      <c r="J44" s="99">
        <v>209100.19</v>
      </c>
      <c r="K44" s="98">
        <f>46867.01+12632.95</f>
        <v>59499.960000000006</v>
      </c>
      <c r="L44" s="107">
        <v>72362.48</v>
      </c>
      <c r="M44" s="98">
        <f t="shared" ref="M44" si="44">J44+K44+L44</f>
        <v>340962.63</v>
      </c>
      <c r="N44" s="98">
        <f t="shared" si="41"/>
        <v>0</v>
      </c>
      <c r="O44" s="98">
        <f>G44*K44</f>
        <v>0</v>
      </c>
      <c r="P44" s="110"/>
      <c r="Q44" s="99">
        <f>G44*L44</f>
        <v>0</v>
      </c>
      <c r="R44" s="99"/>
      <c r="S44" s="99"/>
      <c r="T44" s="98">
        <f t="shared" si="42"/>
        <v>0</v>
      </c>
      <c r="U44" s="98">
        <f t="shared" ref="U44" si="45">T44</f>
        <v>0</v>
      </c>
      <c r="V44" s="98">
        <f t="shared" ref="V44" si="46">U44</f>
        <v>0</v>
      </c>
      <c r="X44" s="93"/>
    </row>
    <row r="45" spans="1:33" ht="36" customHeight="1" x14ac:dyDescent="0.25">
      <c r="A45" s="487" t="s">
        <v>526</v>
      </c>
      <c r="B45" s="97" t="s">
        <v>341</v>
      </c>
      <c r="C45" s="868" t="s">
        <v>453</v>
      </c>
      <c r="D45" s="636" t="s">
        <v>130</v>
      </c>
      <c r="E45" s="104">
        <f>3+1</f>
        <v>4</v>
      </c>
      <c r="F45" s="586">
        <v>5</v>
      </c>
      <c r="G45" s="109">
        <v>5</v>
      </c>
      <c r="H45" s="684">
        <v>5</v>
      </c>
      <c r="I45" s="684">
        <v>5</v>
      </c>
      <c r="J45" s="99">
        <v>209100.19</v>
      </c>
      <c r="K45" s="98">
        <f>70240.51+12632.95*2</f>
        <v>95506.41</v>
      </c>
      <c r="L45" s="107">
        <v>72362.48</v>
      </c>
      <c r="M45" s="98">
        <f t="shared" si="8"/>
        <v>376969.07999999996</v>
      </c>
      <c r="N45" s="98">
        <f t="shared" si="41"/>
        <v>1045500.95</v>
      </c>
      <c r="O45" s="98">
        <f>G45*K45+79092.72</f>
        <v>556624.77</v>
      </c>
      <c r="P45" s="110"/>
      <c r="Q45" s="99">
        <f>G45*L45</f>
        <v>361812.39999999997</v>
      </c>
      <c r="R45" s="99"/>
      <c r="S45" s="99"/>
      <c r="T45" s="98">
        <f t="shared" si="42"/>
        <v>1963938.1199999999</v>
      </c>
      <c r="U45" s="98">
        <f t="shared" si="43"/>
        <v>1963938.1199999999</v>
      </c>
      <c r="V45" s="98">
        <f t="shared" si="43"/>
        <v>1963938.1199999999</v>
      </c>
    </row>
    <row r="46" spans="1:33" ht="69" customHeight="1" x14ac:dyDescent="0.25">
      <c r="A46" s="92"/>
      <c r="B46" s="97" t="s">
        <v>340</v>
      </c>
      <c r="C46" s="871"/>
      <c r="D46" s="636" t="s">
        <v>130</v>
      </c>
      <c r="E46" s="104">
        <v>42</v>
      </c>
      <c r="F46" s="586">
        <v>36</v>
      </c>
      <c r="G46" s="684">
        <v>36</v>
      </c>
      <c r="H46" s="684">
        <v>36</v>
      </c>
      <c r="I46" s="684">
        <v>36</v>
      </c>
      <c r="J46" s="99">
        <v>209100.19</v>
      </c>
      <c r="K46" s="98">
        <f>70240.51+12632.95*2</f>
        <v>95506.41</v>
      </c>
      <c r="L46" s="107">
        <v>72362.48</v>
      </c>
      <c r="M46" s="98">
        <f t="shared" si="8"/>
        <v>376969.07999999996</v>
      </c>
      <c r="N46" s="98">
        <f>G46*J46</f>
        <v>7527606.8399999999</v>
      </c>
      <c r="O46" s="98">
        <f>G46*K46-79092.72+334957.17+41919.83-376877</f>
        <v>3359138.04</v>
      </c>
      <c r="P46" s="110"/>
      <c r="Q46" s="99">
        <f t="shared" ref="Q46:Q49" si="47">G46*L46</f>
        <v>2605049.2799999998</v>
      </c>
      <c r="R46" s="99"/>
      <c r="S46" s="99"/>
      <c r="T46" s="98">
        <f t="shared" si="42"/>
        <v>13491794.159999998</v>
      </c>
      <c r="U46" s="98">
        <f t="shared" si="43"/>
        <v>13491794.159999998</v>
      </c>
      <c r="V46" s="98">
        <f t="shared" si="43"/>
        <v>13491794.159999998</v>
      </c>
    </row>
    <row r="47" spans="1:33" ht="42" customHeight="1" x14ac:dyDescent="0.25">
      <c r="A47" s="92"/>
      <c r="B47" s="97" t="s">
        <v>341</v>
      </c>
      <c r="C47" s="874" t="s">
        <v>479</v>
      </c>
      <c r="D47" s="636" t="s">
        <v>130</v>
      </c>
      <c r="E47" s="104">
        <v>8</v>
      </c>
      <c r="F47" s="586">
        <v>7</v>
      </c>
      <c r="G47" s="684">
        <v>8</v>
      </c>
      <c r="H47" s="684">
        <v>8</v>
      </c>
      <c r="I47" s="684">
        <v>8</v>
      </c>
      <c r="J47" s="99">
        <v>95705.64</v>
      </c>
      <c r="K47" s="98">
        <f>35180.26+12632.95*1</f>
        <v>47813.210000000006</v>
      </c>
      <c r="L47" s="107">
        <v>72362.48</v>
      </c>
      <c r="M47" s="98">
        <f t="shared" si="8"/>
        <v>215881.33000000002</v>
      </c>
      <c r="N47" s="98">
        <f t="shared" si="41"/>
        <v>765645.12</v>
      </c>
      <c r="O47" s="98">
        <f t="shared" ref="O47" si="48">G47*K47</f>
        <v>382505.68000000005</v>
      </c>
      <c r="P47" s="110"/>
      <c r="Q47" s="99">
        <f t="shared" si="47"/>
        <v>578899.84</v>
      </c>
      <c r="R47" s="99"/>
      <c r="S47" s="99"/>
      <c r="T47" s="98">
        <f t="shared" si="42"/>
        <v>1727050.6400000001</v>
      </c>
      <c r="U47" s="98">
        <f t="shared" si="43"/>
        <v>1727050.6400000001</v>
      </c>
      <c r="V47" s="98">
        <f t="shared" si="43"/>
        <v>1727050.6400000001</v>
      </c>
    </row>
    <row r="48" spans="1:33" ht="42" customHeight="1" x14ac:dyDescent="0.25">
      <c r="A48" s="92"/>
      <c r="B48" s="97" t="s">
        <v>129</v>
      </c>
      <c r="C48" s="875"/>
      <c r="D48" s="636" t="s">
        <v>130</v>
      </c>
      <c r="E48" s="104"/>
      <c r="F48" s="586"/>
      <c r="G48" s="684">
        <v>1</v>
      </c>
      <c r="H48" s="684">
        <v>1</v>
      </c>
      <c r="I48" s="684">
        <v>1</v>
      </c>
      <c r="J48" s="99">
        <v>95705.64</v>
      </c>
      <c r="K48" s="98">
        <f>35180.26+12632.95*1</f>
        <v>47813.210000000006</v>
      </c>
      <c r="L48" s="107">
        <v>72363.48</v>
      </c>
      <c r="M48" s="98">
        <f t="shared" ref="M48" si="49">J48+K48+L48</f>
        <v>215882.33000000002</v>
      </c>
      <c r="N48" s="98">
        <f t="shared" ref="N48" si="50">G48*J48</f>
        <v>95705.64</v>
      </c>
      <c r="O48" s="98">
        <f t="shared" ref="O48" si="51">G48*K48</f>
        <v>47813.210000000006</v>
      </c>
      <c r="P48" s="110"/>
      <c r="Q48" s="99">
        <f t="shared" ref="Q48" si="52">G48*L48</f>
        <v>72363.48</v>
      </c>
      <c r="R48" s="99"/>
      <c r="S48" s="99"/>
      <c r="T48" s="98">
        <f t="shared" ref="T48" si="53">SUM(N48:Q48)</f>
        <v>215882.33000000002</v>
      </c>
      <c r="U48" s="98">
        <f t="shared" ref="U48" si="54">T48</f>
        <v>215882.33000000002</v>
      </c>
      <c r="V48" s="98">
        <f t="shared" ref="V48" si="55">U48</f>
        <v>215882.33000000002</v>
      </c>
    </row>
    <row r="49" spans="1:32" ht="69" customHeight="1" x14ac:dyDescent="0.25">
      <c r="A49" s="92"/>
      <c r="B49" s="97" t="s">
        <v>342</v>
      </c>
      <c r="C49" s="876"/>
      <c r="D49" s="636" t="s">
        <v>130</v>
      </c>
      <c r="E49" s="104">
        <v>44</v>
      </c>
      <c r="F49" s="586">
        <v>37</v>
      </c>
      <c r="G49" s="684">
        <v>35</v>
      </c>
      <c r="H49" s="684">
        <v>35</v>
      </c>
      <c r="I49" s="684">
        <v>35</v>
      </c>
      <c r="J49" s="99">
        <v>95705.64</v>
      </c>
      <c r="K49" s="98">
        <f>35180.26+12632.95*1</f>
        <v>47813.210000000006</v>
      </c>
      <c r="L49" s="107">
        <v>72362.48</v>
      </c>
      <c r="M49" s="98">
        <f t="shared" si="8"/>
        <v>215881.33000000002</v>
      </c>
      <c r="N49" s="98">
        <f t="shared" si="41"/>
        <v>3349697.4</v>
      </c>
      <c r="O49" s="98">
        <f>G49*K49</f>
        <v>1673462.3500000003</v>
      </c>
      <c r="P49" s="110"/>
      <c r="Q49" s="99">
        <f t="shared" si="47"/>
        <v>2532686.7999999998</v>
      </c>
      <c r="R49" s="99"/>
      <c r="S49" s="99"/>
      <c r="T49" s="98">
        <f t="shared" si="42"/>
        <v>7555846.5499999998</v>
      </c>
      <c r="U49" s="98">
        <f t="shared" si="43"/>
        <v>7555846.5499999998</v>
      </c>
      <c r="V49" s="98">
        <f t="shared" si="43"/>
        <v>7555846.5499999998</v>
      </c>
    </row>
    <row r="50" spans="1:32" s="84" customFormat="1" ht="61.2" hidden="1" customHeight="1" x14ac:dyDescent="0.25">
      <c r="A50" s="636"/>
      <c r="B50" s="112"/>
      <c r="C50" s="636" t="s">
        <v>44</v>
      </c>
      <c r="D50" s="636"/>
      <c r="E50" s="104"/>
      <c r="F50" s="586"/>
      <c r="G50" s="104"/>
      <c r="H50" s="104"/>
      <c r="I50" s="104"/>
      <c r="J50" s="99"/>
      <c r="K50" s="98">
        <f t="shared" ref="K50:K65" si="56">(12142.68*2.133649)</f>
        <v>25908.217039320003</v>
      </c>
      <c r="L50" s="99"/>
      <c r="M50" s="98">
        <f t="shared" si="8"/>
        <v>25908.217039320003</v>
      </c>
      <c r="N50" s="110"/>
      <c r="O50" s="98"/>
      <c r="P50" s="110"/>
      <c r="Q50" s="99"/>
      <c r="R50" s="99"/>
      <c r="S50" s="99"/>
      <c r="T50" s="98">
        <f>O50</f>
        <v>0</v>
      </c>
      <c r="U50" s="98">
        <f t="shared" si="43"/>
        <v>0</v>
      </c>
      <c r="V50" s="98">
        <f t="shared" si="43"/>
        <v>0</v>
      </c>
      <c r="AD50" s="83"/>
      <c r="AE50" s="83"/>
      <c r="AF50" s="83"/>
    </row>
    <row r="51" spans="1:32" ht="61.2" hidden="1" customHeight="1" x14ac:dyDescent="0.25">
      <c r="A51" s="92"/>
      <c r="B51" s="87"/>
      <c r="C51" s="97" t="s">
        <v>44</v>
      </c>
      <c r="D51" s="636"/>
      <c r="E51" s="104"/>
      <c r="F51" s="586"/>
      <c r="G51" s="104"/>
      <c r="H51" s="104"/>
      <c r="I51" s="104"/>
      <c r="J51" s="99"/>
      <c r="K51" s="98">
        <f t="shared" si="56"/>
        <v>25908.217039320003</v>
      </c>
      <c r="L51" s="99"/>
      <c r="M51" s="98">
        <f t="shared" si="8"/>
        <v>25908.217039320003</v>
      </c>
      <c r="N51" s="110"/>
      <c r="O51" s="98"/>
      <c r="P51" s="110"/>
      <c r="Q51" s="99"/>
      <c r="R51" s="99"/>
      <c r="S51" s="99"/>
      <c r="T51" s="98">
        <f>N51</f>
        <v>0</v>
      </c>
      <c r="U51" s="98">
        <f t="shared" si="43"/>
        <v>0</v>
      </c>
      <c r="V51" s="98">
        <f t="shared" si="43"/>
        <v>0</v>
      </c>
    </row>
    <row r="52" spans="1:32" ht="61.2" hidden="1" customHeight="1" x14ac:dyDescent="0.25">
      <c r="A52" s="92"/>
      <c r="B52" s="87"/>
      <c r="C52" s="97"/>
      <c r="D52" s="636"/>
      <c r="E52" s="104"/>
      <c r="F52" s="586"/>
      <c r="G52" s="104"/>
      <c r="H52" s="104"/>
      <c r="I52" s="104"/>
      <c r="J52" s="99"/>
      <c r="K52" s="98">
        <f t="shared" si="56"/>
        <v>25908.217039320003</v>
      </c>
      <c r="L52" s="99"/>
      <c r="M52" s="98">
        <f t="shared" si="8"/>
        <v>25908.217039320003</v>
      </c>
      <c r="N52" s="110"/>
      <c r="O52" s="98"/>
      <c r="P52" s="110"/>
      <c r="Q52" s="99"/>
      <c r="R52" s="99"/>
      <c r="S52" s="99"/>
      <c r="T52" s="98">
        <f>O52</f>
        <v>0</v>
      </c>
      <c r="U52" s="98">
        <f t="shared" si="43"/>
        <v>0</v>
      </c>
      <c r="V52" s="98">
        <f t="shared" si="43"/>
        <v>0</v>
      </c>
    </row>
    <row r="53" spans="1:32" ht="61.2" customHeight="1" x14ac:dyDescent="0.25">
      <c r="A53" s="92" t="s">
        <v>133</v>
      </c>
      <c r="B53" s="97" t="s">
        <v>134</v>
      </c>
      <c r="C53" s="97" t="s">
        <v>54</v>
      </c>
      <c r="D53" s="636" t="s">
        <v>130</v>
      </c>
      <c r="E53" s="104">
        <f>E49+E47+E46+E45+E43+E44</f>
        <v>116</v>
      </c>
      <c r="F53" s="683">
        <f>F49+F47+F46+F45+F43+F44</f>
        <v>97</v>
      </c>
      <c r="G53" s="684">
        <f>G49+G48+G47+G46+G45+G43+G44</f>
        <v>97</v>
      </c>
      <c r="H53" s="684">
        <f>H49+H48+H47+H46+H45+H43+H44</f>
        <v>97</v>
      </c>
      <c r="I53" s="684">
        <f>I49+I48+I47+I46+I45+I43+I44</f>
        <v>97</v>
      </c>
      <c r="J53" s="99">
        <v>0</v>
      </c>
      <c r="K53" s="98">
        <v>0</v>
      </c>
      <c r="L53" s="107">
        <v>61511.06</v>
      </c>
      <c r="M53" s="98">
        <f t="shared" si="8"/>
        <v>61511.06</v>
      </c>
      <c r="N53" s="98">
        <f>G53*J53</f>
        <v>0</v>
      </c>
      <c r="O53" s="98">
        <f>G53*K53</f>
        <v>0</v>
      </c>
      <c r="P53" s="110"/>
      <c r="Q53" s="107">
        <f>G53*L53</f>
        <v>5966572.8199999994</v>
      </c>
      <c r="R53" s="99"/>
      <c r="S53" s="99"/>
      <c r="T53" s="102">
        <f>SUM(N53:Q53)</f>
        <v>5966572.8199999994</v>
      </c>
      <c r="U53" s="98">
        <f t="shared" si="43"/>
        <v>5966572.8199999994</v>
      </c>
      <c r="V53" s="98">
        <f t="shared" si="43"/>
        <v>5966572.8199999994</v>
      </c>
    </row>
    <row r="54" spans="1:32" ht="29.4" customHeight="1" x14ac:dyDescent="0.25">
      <c r="A54" s="490" t="s">
        <v>528</v>
      </c>
      <c r="B54" s="97" t="s">
        <v>134</v>
      </c>
      <c r="C54" s="97" t="s">
        <v>135</v>
      </c>
      <c r="D54" s="636"/>
      <c r="E54" s="110"/>
      <c r="F54" s="104"/>
      <c r="G54" s="114">
        <f>G53</f>
        <v>97</v>
      </c>
      <c r="H54" s="114">
        <f>H53</f>
        <v>97</v>
      </c>
      <c r="I54" s="114">
        <f>I53</f>
        <v>97</v>
      </c>
      <c r="J54" s="99"/>
      <c r="K54" s="98"/>
      <c r="L54" s="107">
        <v>20437.68</v>
      </c>
      <c r="M54" s="98">
        <f t="shared" si="8"/>
        <v>20437.68</v>
      </c>
      <c r="N54" s="110"/>
      <c r="O54" s="98"/>
      <c r="P54" s="110"/>
      <c r="Q54" s="99"/>
      <c r="R54" s="99"/>
      <c r="S54" s="107">
        <f>G54*L54</f>
        <v>1982454.96</v>
      </c>
      <c r="T54" s="102">
        <f>S54</f>
        <v>1982454.96</v>
      </c>
      <c r="U54" s="98">
        <f>T54</f>
        <v>1982454.96</v>
      </c>
      <c r="V54" s="98">
        <f>U54</f>
        <v>1982454.96</v>
      </c>
    </row>
    <row r="55" spans="1:32" ht="29.4" customHeight="1" x14ac:dyDescent="0.25">
      <c r="A55" s="96" t="s">
        <v>142</v>
      </c>
      <c r="B55" s="96"/>
      <c r="C55" s="96"/>
      <c r="D55" s="112"/>
      <c r="E55" s="113"/>
      <c r="F55" s="114"/>
      <c r="G55" s="114"/>
      <c r="H55" s="113"/>
      <c r="I55" s="113"/>
      <c r="J55" s="101"/>
      <c r="K55" s="98"/>
      <c r="L55" s="101"/>
      <c r="M55" s="98">
        <f t="shared" si="8"/>
        <v>0</v>
      </c>
      <c r="N55" s="101">
        <f>N56</f>
        <v>9226629.7200000007</v>
      </c>
      <c r="O55" s="101">
        <f>O56</f>
        <v>5614440.120000001</v>
      </c>
      <c r="P55" s="114">
        <f>P56</f>
        <v>0</v>
      </c>
      <c r="Q55" s="777">
        <f>Q56+Q66</f>
        <v>11646997.98</v>
      </c>
      <c r="R55" s="101">
        <f>R56</f>
        <v>0</v>
      </c>
      <c r="S55" s="101">
        <f>S67</f>
        <v>1778078.16</v>
      </c>
      <c r="T55" s="101">
        <f>T56+T66+T67</f>
        <v>28266145.98</v>
      </c>
      <c r="U55" s="101">
        <f>U56+U66+U67</f>
        <v>28266145.98</v>
      </c>
      <c r="V55" s="101">
        <f>V56+V66+V67</f>
        <v>28266145.98</v>
      </c>
      <c r="W55" s="83">
        <v>5581141.5300000003</v>
      </c>
      <c r="X55" s="93">
        <f>W55-Q55</f>
        <v>-6065856.4500000002</v>
      </c>
      <c r="Y55" s="83">
        <f>X55/G66</f>
        <v>-69722.487931034484</v>
      </c>
      <c r="AA55" s="83">
        <v>5552393.5300000003</v>
      </c>
      <c r="AB55" s="93">
        <f>AA55-Q55</f>
        <v>-6094604.4500000002</v>
      </c>
    </row>
    <row r="56" spans="1:32" ht="69.599999999999994" customHeight="1" x14ac:dyDescent="0.25">
      <c r="A56" s="92" t="s">
        <v>127</v>
      </c>
      <c r="B56" s="87" t="s">
        <v>128</v>
      </c>
      <c r="C56" s="87"/>
      <c r="D56" s="636"/>
      <c r="E56" s="110"/>
      <c r="F56" s="104"/>
      <c r="G56" s="104"/>
      <c r="H56" s="110"/>
      <c r="I56" s="110"/>
      <c r="J56" s="99"/>
      <c r="K56" s="98"/>
      <c r="L56" s="99"/>
      <c r="M56" s="98"/>
      <c r="N56" s="98">
        <f>SUM(N57:N65)</f>
        <v>9226629.7200000007</v>
      </c>
      <c r="O56" s="98">
        <f>SUM(O57:O65)</f>
        <v>5614440.120000001</v>
      </c>
      <c r="P56" s="117"/>
      <c r="Q56" s="107">
        <f>SUM(Q57:Q63)</f>
        <v>6295535.7599999998</v>
      </c>
      <c r="R56" s="99"/>
      <c r="S56" s="99"/>
      <c r="T56" s="102">
        <f>SUM(T57:T65)</f>
        <v>21136605.600000001</v>
      </c>
      <c r="U56" s="98">
        <f t="shared" ref="U56:V56" si="57">SUM(U57:U65)</f>
        <v>21136605.600000001</v>
      </c>
      <c r="V56" s="98">
        <f t="shared" si="57"/>
        <v>21136605.600000001</v>
      </c>
      <c r="W56" s="93">
        <v>14544322.529999999</v>
      </c>
      <c r="AA56" s="93">
        <f>14544322.53+U67</f>
        <v>16322400.689999999</v>
      </c>
      <c r="AB56" s="93">
        <f>U55-AA56</f>
        <v>11943745.290000001</v>
      </c>
    </row>
    <row r="57" spans="1:32" ht="99.6" customHeight="1" x14ac:dyDescent="0.25">
      <c r="A57" s="92"/>
      <c r="B57" s="92" t="s">
        <v>143</v>
      </c>
      <c r="C57" s="688" t="s">
        <v>298</v>
      </c>
      <c r="D57" s="636" t="s">
        <v>130</v>
      </c>
      <c r="E57" s="104">
        <v>0</v>
      </c>
      <c r="F57" s="586">
        <v>14</v>
      </c>
      <c r="G57" s="109">
        <v>14</v>
      </c>
      <c r="H57" s="684">
        <v>14</v>
      </c>
      <c r="I57" s="684">
        <v>14</v>
      </c>
      <c r="J57" s="99">
        <v>62813.1</v>
      </c>
      <c r="K57" s="98">
        <f>46867.01+15649.51*1</f>
        <v>62516.520000000004</v>
      </c>
      <c r="L57" s="107">
        <v>72362.48</v>
      </c>
      <c r="M57" s="98">
        <f t="shared" ref="M57:M58" si="58">J57+K57+L57</f>
        <v>197692.09999999998</v>
      </c>
      <c r="N57" s="98">
        <f t="shared" ref="N57:N63" si="59">G57*J57</f>
        <v>879383.4</v>
      </c>
      <c r="O57" s="98">
        <f>G57*K57</f>
        <v>875231.28</v>
      </c>
      <c r="P57" s="110"/>
      <c r="Q57" s="99">
        <f>G57*L57</f>
        <v>1013074.72</v>
      </c>
      <c r="R57" s="99"/>
      <c r="S57" s="99"/>
      <c r="T57" s="98">
        <f t="shared" ref="T57:T63" si="60">SUM(N57:Q57)</f>
        <v>2767689.4000000004</v>
      </c>
      <c r="U57" s="98">
        <f t="shared" ref="U57:U58" si="61">T57</f>
        <v>2767689.4000000004</v>
      </c>
      <c r="V57" s="98">
        <f t="shared" ref="V57:V58" si="62">U57</f>
        <v>2767689.4000000004</v>
      </c>
      <c r="W57" s="93"/>
      <c r="AA57" s="93"/>
      <c r="AB57" s="93"/>
    </row>
    <row r="58" spans="1:32" ht="103.8" customHeight="1" x14ac:dyDescent="0.25">
      <c r="A58" s="92"/>
      <c r="B58" s="92" t="s">
        <v>340</v>
      </c>
      <c r="C58" s="688" t="s">
        <v>538</v>
      </c>
      <c r="D58" s="636" t="s">
        <v>130</v>
      </c>
      <c r="E58" s="104">
        <v>0</v>
      </c>
      <c r="F58" s="586">
        <v>12</v>
      </c>
      <c r="G58" s="684">
        <v>12</v>
      </c>
      <c r="H58" s="684">
        <v>12</v>
      </c>
      <c r="I58" s="684">
        <v>12</v>
      </c>
      <c r="J58" s="99">
        <v>209100.19</v>
      </c>
      <c r="K58" s="98">
        <f>70240.51+15649.51*2</f>
        <v>101539.53</v>
      </c>
      <c r="L58" s="107">
        <v>72362.48</v>
      </c>
      <c r="M58" s="98">
        <f t="shared" si="58"/>
        <v>383002.19999999995</v>
      </c>
      <c r="N58" s="98">
        <f t="shared" si="59"/>
        <v>2509202.2800000003</v>
      </c>
      <c r="O58" s="98">
        <f>G58*K58+376793.67</f>
        <v>1595268.0299999998</v>
      </c>
      <c r="P58" s="110"/>
      <c r="Q58" s="99">
        <f>G58*L58</f>
        <v>868349.76</v>
      </c>
      <c r="R58" s="99"/>
      <c r="S58" s="99"/>
      <c r="T58" s="98">
        <f t="shared" si="60"/>
        <v>4972820.07</v>
      </c>
      <c r="U58" s="98">
        <f t="shared" si="61"/>
        <v>4972820.07</v>
      </c>
      <c r="V58" s="98">
        <f t="shared" si="62"/>
        <v>4972820.07</v>
      </c>
      <c r="W58" s="93"/>
      <c r="AA58" s="93"/>
      <c r="AB58" s="93"/>
    </row>
    <row r="59" spans="1:32" ht="31.2" customHeight="1" x14ac:dyDescent="0.25">
      <c r="A59" s="92"/>
      <c r="B59" s="97" t="s">
        <v>143</v>
      </c>
      <c r="C59" s="868" t="s">
        <v>299</v>
      </c>
      <c r="D59" s="636" t="s">
        <v>130</v>
      </c>
      <c r="E59" s="104">
        <f>20-3</f>
        <v>17</v>
      </c>
      <c r="F59" s="586">
        <v>2</v>
      </c>
      <c r="G59" s="684">
        <v>12</v>
      </c>
      <c r="H59" s="684">
        <f>16-4</f>
        <v>12</v>
      </c>
      <c r="I59" s="684">
        <f>16-4</f>
        <v>12</v>
      </c>
      <c r="J59" s="99">
        <v>95705.64</v>
      </c>
      <c r="K59" s="98">
        <f>35180.26+15649.51*1</f>
        <v>50829.770000000004</v>
      </c>
      <c r="L59" s="107">
        <v>72362.48</v>
      </c>
      <c r="M59" s="98">
        <f t="shared" si="8"/>
        <v>218897.89</v>
      </c>
      <c r="N59" s="98">
        <f t="shared" si="59"/>
        <v>1148467.68</v>
      </c>
      <c r="O59" s="98">
        <f>G59*K59</f>
        <v>609957.24</v>
      </c>
      <c r="P59" s="110"/>
      <c r="Q59" s="99">
        <f>G59*L59</f>
        <v>868349.76</v>
      </c>
      <c r="R59" s="99"/>
      <c r="S59" s="99"/>
      <c r="T59" s="98">
        <f t="shared" si="60"/>
        <v>2626774.6799999997</v>
      </c>
      <c r="U59" s="98">
        <f t="shared" ref="U59:V66" si="63">T59</f>
        <v>2626774.6799999997</v>
      </c>
      <c r="V59" s="98">
        <f t="shared" si="63"/>
        <v>2626774.6799999997</v>
      </c>
      <c r="X59" s="93">
        <f>W56-U55</f>
        <v>-13721823.450000001</v>
      </c>
    </row>
    <row r="60" spans="1:32" ht="28.95" customHeight="1" x14ac:dyDescent="0.25">
      <c r="A60" s="92"/>
      <c r="B60" s="97" t="s">
        <v>340</v>
      </c>
      <c r="C60" s="870"/>
      <c r="D60" s="636" t="s">
        <v>130</v>
      </c>
      <c r="E60" s="104">
        <v>4</v>
      </c>
      <c r="F60" s="586">
        <v>1</v>
      </c>
      <c r="G60" s="586">
        <f>2</f>
        <v>2</v>
      </c>
      <c r="H60" s="586">
        <f>2-1</f>
        <v>1</v>
      </c>
      <c r="I60" s="586">
        <f>2-1</f>
        <v>1</v>
      </c>
      <c r="J60" s="99">
        <v>95705.64</v>
      </c>
      <c r="K60" s="98">
        <f>35180.26+15649.51*1</f>
        <v>50829.770000000004</v>
      </c>
      <c r="L60" s="107">
        <v>72362.48</v>
      </c>
      <c r="M60" s="98">
        <f t="shared" si="8"/>
        <v>218897.89</v>
      </c>
      <c r="N60" s="98">
        <f t="shared" si="59"/>
        <v>191411.28</v>
      </c>
      <c r="O60" s="98">
        <f t="shared" ref="O60" si="64">G60*K60</f>
        <v>101659.54000000001</v>
      </c>
      <c r="P60" s="110"/>
      <c r="Q60" s="99">
        <f t="shared" ref="Q60:Q62" si="65">G60*L60</f>
        <v>144724.96</v>
      </c>
      <c r="R60" s="99"/>
      <c r="S60" s="99"/>
      <c r="T60" s="98">
        <f t="shared" si="60"/>
        <v>437795.78</v>
      </c>
      <c r="U60" s="98">
        <f t="shared" si="63"/>
        <v>437795.78</v>
      </c>
      <c r="V60" s="98">
        <f t="shared" si="63"/>
        <v>437795.78</v>
      </c>
    </row>
    <row r="61" spans="1:32" ht="23.4" customHeight="1" x14ac:dyDescent="0.25">
      <c r="A61" s="92"/>
      <c r="B61" s="97" t="s">
        <v>340</v>
      </c>
      <c r="C61" s="870"/>
      <c r="D61" s="636" t="s">
        <v>130</v>
      </c>
      <c r="E61" s="104">
        <v>21</v>
      </c>
      <c r="F61" s="586">
        <v>10</v>
      </c>
      <c r="G61" s="684">
        <v>0</v>
      </c>
      <c r="H61" s="684">
        <v>0</v>
      </c>
      <c r="I61" s="684">
        <v>0</v>
      </c>
      <c r="J61" s="99">
        <v>95705.64</v>
      </c>
      <c r="K61" s="98">
        <f>35180.26+15649.51*1</f>
        <v>50829.770000000004</v>
      </c>
      <c r="L61" s="107">
        <v>72362.48</v>
      </c>
      <c r="M61" s="98">
        <f t="shared" ref="M61" si="66">J61+K61+L61</f>
        <v>218897.89</v>
      </c>
      <c r="N61" s="98">
        <f t="shared" si="59"/>
        <v>0</v>
      </c>
      <c r="O61" s="98">
        <f>G61*K61+46162.57-8471.62</f>
        <v>37690.949999999997</v>
      </c>
      <c r="P61" s="110"/>
      <c r="Q61" s="99">
        <f t="shared" ref="Q61" si="67">G61*L61</f>
        <v>0</v>
      </c>
      <c r="R61" s="99"/>
      <c r="S61" s="99"/>
      <c r="T61" s="98">
        <f t="shared" si="60"/>
        <v>37690.949999999997</v>
      </c>
      <c r="U61" s="98">
        <f t="shared" ref="U61" si="68">T61</f>
        <v>37690.949999999997</v>
      </c>
      <c r="V61" s="98">
        <f t="shared" ref="V61" si="69">U61</f>
        <v>37690.949999999997</v>
      </c>
    </row>
    <row r="62" spans="1:32" ht="25.95" customHeight="1" x14ac:dyDescent="0.25">
      <c r="A62" s="379" t="s">
        <v>527</v>
      </c>
      <c r="B62" s="374" t="s">
        <v>348</v>
      </c>
      <c r="C62" s="870"/>
      <c r="D62" s="636" t="s">
        <v>130</v>
      </c>
      <c r="E62" s="104">
        <v>2</v>
      </c>
      <c r="F62" s="586">
        <v>2</v>
      </c>
      <c r="G62" s="109">
        <v>1</v>
      </c>
      <c r="H62" s="684">
        <f>2-1</f>
        <v>1</v>
      </c>
      <c r="I62" s="684">
        <f>2-1</f>
        <v>1</v>
      </c>
      <c r="J62" s="376">
        <v>95705.64</v>
      </c>
      <c r="K62" s="376">
        <f>35180.26+15649.51*1</f>
        <v>50829.770000000004</v>
      </c>
      <c r="L62" s="107">
        <v>72362.48</v>
      </c>
      <c r="M62" s="98">
        <f t="shared" si="8"/>
        <v>218897.89</v>
      </c>
      <c r="N62" s="98">
        <f t="shared" si="59"/>
        <v>95705.64</v>
      </c>
      <c r="O62" s="98">
        <f>G62*K62+5633.89</f>
        <v>56463.66</v>
      </c>
      <c r="P62" s="110"/>
      <c r="Q62" s="99">
        <f t="shared" si="65"/>
        <v>72362.48</v>
      </c>
      <c r="R62" s="99"/>
      <c r="S62" s="99"/>
      <c r="T62" s="98">
        <f t="shared" si="60"/>
        <v>224531.77999999997</v>
      </c>
      <c r="U62" s="98">
        <f t="shared" si="63"/>
        <v>224531.77999999997</v>
      </c>
      <c r="V62" s="98">
        <f t="shared" si="63"/>
        <v>224531.77999999997</v>
      </c>
    </row>
    <row r="63" spans="1:32" ht="24" customHeight="1" x14ac:dyDescent="0.25">
      <c r="A63" s="97"/>
      <c r="B63" s="97" t="s">
        <v>338</v>
      </c>
      <c r="C63" s="871"/>
      <c r="D63" s="636" t="s">
        <v>130</v>
      </c>
      <c r="E63" s="104">
        <f>58+1-5</f>
        <v>54</v>
      </c>
      <c r="F63" s="586">
        <v>46</v>
      </c>
      <c r="G63" s="109">
        <v>46</v>
      </c>
      <c r="H63" s="684">
        <f>53-7</f>
        <v>46</v>
      </c>
      <c r="I63" s="684">
        <f>53-7</f>
        <v>46</v>
      </c>
      <c r="J63" s="99">
        <v>95705.64</v>
      </c>
      <c r="K63" s="98">
        <f>35180.26+15649.51*1</f>
        <v>50829.770000000004</v>
      </c>
      <c r="L63" s="107">
        <v>72362.48</v>
      </c>
      <c r="M63" s="98">
        <f t="shared" si="8"/>
        <v>218897.89</v>
      </c>
      <c r="N63" s="98">
        <f t="shared" si="59"/>
        <v>4402459.4400000004</v>
      </c>
      <c r="O63" s="98">
        <f>G63*K63</f>
        <v>2338169.4200000004</v>
      </c>
      <c r="P63" s="110"/>
      <c r="Q63" s="99">
        <f>G63*L63</f>
        <v>3328674.0799999996</v>
      </c>
      <c r="R63" s="99"/>
      <c r="S63" s="99"/>
      <c r="T63" s="98">
        <f t="shared" si="60"/>
        <v>10069302.940000001</v>
      </c>
      <c r="U63" s="98">
        <f t="shared" si="63"/>
        <v>10069302.940000001</v>
      </c>
      <c r="V63" s="98">
        <f t="shared" si="63"/>
        <v>10069302.940000001</v>
      </c>
    </row>
    <row r="64" spans="1:32" ht="28.95" hidden="1" customHeight="1" x14ac:dyDescent="0.25">
      <c r="A64" s="97"/>
      <c r="B64" s="87" t="s">
        <v>139</v>
      </c>
      <c r="C64" s="97" t="s">
        <v>44</v>
      </c>
      <c r="D64" s="636"/>
      <c r="E64" s="104"/>
      <c r="F64" s="104"/>
      <c r="G64" s="104"/>
      <c r="H64" s="684"/>
      <c r="I64" s="684"/>
      <c r="J64" s="99"/>
      <c r="K64" s="98">
        <f t="shared" si="56"/>
        <v>25908.217039320003</v>
      </c>
      <c r="L64" s="99">
        <v>0</v>
      </c>
      <c r="M64" s="98">
        <v>0</v>
      </c>
      <c r="N64" s="110"/>
      <c r="O64" s="98"/>
      <c r="P64" s="110"/>
      <c r="Q64" s="99"/>
      <c r="R64" s="99"/>
      <c r="S64" s="99"/>
      <c r="T64" s="98">
        <f>N64</f>
        <v>0</v>
      </c>
      <c r="U64" s="98">
        <f t="shared" si="63"/>
        <v>0</v>
      </c>
      <c r="V64" s="98">
        <f t="shared" si="63"/>
        <v>0</v>
      </c>
    </row>
    <row r="65" spans="1:32" ht="31.2" hidden="1" customHeight="1" x14ac:dyDescent="0.25">
      <c r="A65" s="97"/>
      <c r="B65" s="87" t="s">
        <v>140</v>
      </c>
      <c r="C65" s="97"/>
      <c r="D65" s="636"/>
      <c r="E65" s="104"/>
      <c r="F65" s="104"/>
      <c r="G65" s="104"/>
      <c r="H65" s="684"/>
      <c r="I65" s="684"/>
      <c r="J65" s="99"/>
      <c r="K65" s="98">
        <f t="shared" si="56"/>
        <v>25908.217039320003</v>
      </c>
      <c r="L65" s="99">
        <v>0</v>
      </c>
      <c r="M65" s="98">
        <v>0</v>
      </c>
      <c r="N65" s="110"/>
      <c r="O65" s="98"/>
      <c r="P65" s="110"/>
      <c r="Q65" s="99"/>
      <c r="R65" s="99"/>
      <c r="S65" s="99"/>
      <c r="T65" s="98">
        <f>O65</f>
        <v>0</v>
      </c>
      <c r="U65" s="98">
        <f t="shared" si="63"/>
        <v>0</v>
      </c>
      <c r="V65" s="98">
        <f t="shared" si="63"/>
        <v>0</v>
      </c>
    </row>
    <row r="66" spans="1:32" ht="66" customHeight="1" x14ac:dyDescent="0.25">
      <c r="A66" s="92" t="s">
        <v>133</v>
      </c>
      <c r="B66" s="97" t="s">
        <v>134</v>
      </c>
      <c r="C66" s="97" t="s">
        <v>54</v>
      </c>
      <c r="D66" s="636" t="s">
        <v>130</v>
      </c>
      <c r="E66" s="104">
        <f>SUM(E57:E65)</f>
        <v>98</v>
      </c>
      <c r="F66" s="683">
        <f>SUM(F57:F65)</f>
        <v>87</v>
      </c>
      <c r="G66" s="683">
        <f>G59+G60+G62+G63+G61+G57+G58</f>
        <v>87</v>
      </c>
      <c r="H66" s="109">
        <f>SUM(H57:H65)</f>
        <v>86</v>
      </c>
      <c r="I66" s="109">
        <f>SUM(I57:I65)</f>
        <v>86</v>
      </c>
      <c r="J66" s="99">
        <v>0</v>
      </c>
      <c r="K66" s="98">
        <v>0</v>
      </c>
      <c r="L66" s="107">
        <v>61511.06</v>
      </c>
      <c r="M66" s="98">
        <f>J66+K66+L66</f>
        <v>61511.06</v>
      </c>
      <c r="N66" s="98">
        <f>G66*J66</f>
        <v>0</v>
      </c>
      <c r="O66" s="98">
        <f>G66*K66</f>
        <v>0</v>
      </c>
      <c r="P66" s="110"/>
      <c r="Q66" s="107">
        <f>G66*L66</f>
        <v>5351462.22</v>
      </c>
      <c r="R66" s="99"/>
      <c r="S66" s="99"/>
      <c r="T66" s="102">
        <f>SUM(N66:Q66)</f>
        <v>5351462.22</v>
      </c>
      <c r="U66" s="98">
        <f>T66</f>
        <v>5351462.22</v>
      </c>
      <c r="V66" s="98">
        <f t="shared" si="63"/>
        <v>5351462.22</v>
      </c>
    </row>
    <row r="67" spans="1:32" ht="27" customHeight="1" x14ac:dyDescent="0.25">
      <c r="A67" s="490" t="s">
        <v>603</v>
      </c>
      <c r="B67" s="97" t="s">
        <v>134</v>
      </c>
      <c r="C67" s="97" t="s">
        <v>135</v>
      </c>
      <c r="D67" s="636"/>
      <c r="E67" s="110"/>
      <c r="F67" s="104"/>
      <c r="G67" s="109">
        <f>G66</f>
        <v>87</v>
      </c>
      <c r="H67" s="114">
        <f>H66</f>
        <v>86</v>
      </c>
      <c r="I67" s="114">
        <f>I66</f>
        <v>86</v>
      </c>
      <c r="J67" s="99"/>
      <c r="K67" s="98"/>
      <c r="L67" s="107">
        <v>20437.68</v>
      </c>
      <c r="M67" s="98">
        <f t="shared" si="8"/>
        <v>20437.68</v>
      </c>
      <c r="N67" s="110"/>
      <c r="O67" s="98"/>
      <c r="P67" s="110"/>
      <c r="Q67" s="99"/>
      <c r="R67" s="99"/>
      <c r="S67" s="107">
        <f>G67*L67</f>
        <v>1778078.16</v>
      </c>
      <c r="T67" s="102">
        <f>S67</f>
        <v>1778078.16</v>
      </c>
      <c r="U67" s="98">
        <f>T67</f>
        <v>1778078.16</v>
      </c>
      <c r="V67" s="98">
        <f>U67</f>
        <v>1778078.16</v>
      </c>
    </row>
    <row r="68" spans="1:32" ht="26.4" customHeight="1" x14ac:dyDescent="0.25">
      <c r="A68" s="96" t="s">
        <v>144</v>
      </c>
      <c r="B68" s="96"/>
      <c r="C68" s="96"/>
      <c r="D68" s="112"/>
      <c r="E68" s="113"/>
      <c r="F68" s="114"/>
      <c r="G68" s="114"/>
      <c r="H68" s="113"/>
      <c r="I68" s="113"/>
      <c r="J68" s="101"/>
      <c r="K68" s="98"/>
      <c r="L68" s="101"/>
      <c r="M68" s="98">
        <f t="shared" si="8"/>
        <v>0</v>
      </c>
      <c r="N68" s="107">
        <f>N69+N84</f>
        <v>11769594.259999998</v>
      </c>
      <c r="O68" s="101">
        <f>O69</f>
        <v>6160945.5099999998</v>
      </c>
      <c r="P68" s="101"/>
      <c r="Q68" s="777">
        <f>Q69+Q81</f>
        <v>13788974.619999999</v>
      </c>
      <c r="R68" s="101"/>
      <c r="S68" s="101">
        <f>S82</f>
        <v>2105081.04</v>
      </c>
      <c r="T68" s="107">
        <f>T69+T81+T82+T84</f>
        <v>33824595.43</v>
      </c>
      <c r="U68" s="102">
        <f>U69+U81+U82+U84</f>
        <v>33824595.43</v>
      </c>
      <c r="V68" s="102">
        <f>V69+V81+V82</f>
        <v>33824595.43</v>
      </c>
      <c r="W68" s="83">
        <v>10602392.789999999</v>
      </c>
      <c r="X68" s="93">
        <f>W68-Q68</f>
        <v>-3186581.83</v>
      </c>
      <c r="Y68" s="103">
        <f>X68/G81</f>
        <v>-30937.687669902913</v>
      </c>
      <c r="AA68" s="83">
        <v>11530755.789999999</v>
      </c>
      <c r="AB68" s="93">
        <f>AA68-Q68</f>
        <v>-2258218.83</v>
      </c>
      <c r="AC68" s="83">
        <f>AB68/I81</f>
        <v>-21924.454660194177</v>
      </c>
    </row>
    <row r="69" spans="1:32" ht="73.2" customHeight="1" x14ac:dyDescent="0.25">
      <c r="A69" s="92" t="s">
        <v>127</v>
      </c>
      <c r="B69" s="87" t="s">
        <v>128</v>
      </c>
      <c r="C69" s="87"/>
      <c r="D69" s="636"/>
      <c r="E69" s="110"/>
      <c r="F69" s="104"/>
      <c r="G69" s="104"/>
      <c r="H69" s="110"/>
      <c r="I69" s="110"/>
      <c r="J69" s="99"/>
      <c r="K69" s="98"/>
      <c r="L69" s="99"/>
      <c r="M69" s="98"/>
      <c r="N69" s="98">
        <f>SUM(N70:N80)</f>
        <v>11769594.259999998</v>
      </c>
      <c r="O69" s="98">
        <f>SUM(O70:O80)</f>
        <v>6160945.5099999998</v>
      </c>
      <c r="P69" s="110"/>
      <c r="Q69" s="107">
        <f>SUM(Q70:Q80)</f>
        <v>7453335.4399999995</v>
      </c>
      <c r="R69" s="99"/>
      <c r="S69" s="99"/>
      <c r="T69" s="102">
        <f>SUM(T70:T80)</f>
        <v>25383875.209999997</v>
      </c>
      <c r="U69" s="98">
        <f>SUM(U70:U80)</f>
        <v>25383875.209999997</v>
      </c>
      <c r="V69" s="98">
        <f>SUM(V70:V80)</f>
        <v>25383875.209999997</v>
      </c>
      <c r="W69" s="93">
        <v>23072309.280000001</v>
      </c>
      <c r="AA69" s="93">
        <f>23072309.28+U82</f>
        <v>25177390.32</v>
      </c>
      <c r="AB69" s="93">
        <f>U68-AA69</f>
        <v>8647205.1099999994</v>
      </c>
    </row>
    <row r="70" spans="1:32" ht="48" customHeight="1" x14ac:dyDescent="0.25">
      <c r="A70" s="92"/>
      <c r="B70" s="97" t="s">
        <v>129</v>
      </c>
      <c r="C70" s="868" t="s">
        <v>298</v>
      </c>
      <c r="D70" s="636" t="s">
        <v>130</v>
      </c>
      <c r="E70" s="104">
        <v>17</v>
      </c>
      <c r="F70" s="586">
        <v>20</v>
      </c>
      <c r="G70" s="684">
        <f>20+2</f>
        <v>22</v>
      </c>
      <c r="H70" s="684">
        <f>20+2</f>
        <v>22</v>
      </c>
      <c r="I70" s="684">
        <f>20+2</f>
        <v>22</v>
      </c>
      <c r="J70" s="99">
        <v>62813.1</v>
      </c>
      <c r="K70" s="98">
        <f>46867.01+13060.92</f>
        <v>59927.93</v>
      </c>
      <c r="L70" s="107">
        <v>72362.48</v>
      </c>
      <c r="M70" s="98">
        <f t="shared" si="8"/>
        <v>195103.51</v>
      </c>
      <c r="N70" s="98">
        <f t="shared" ref="N70:N80" si="70">G70*J70</f>
        <v>1381888.2</v>
      </c>
      <c r="O70" s="99">
        <f t="shared" ref="O70:O80" si="71">G70*K70</f>
        <v>1318414.46</v>
      </c>
      <c r="P70" s="110"/>
      <c r="Q70" s="99">
        <f>G70*L70</f>
        <v>1591974.5599999998</v>
      </c>
      <c r="R70" s="99"/>
      <c r="S70" s="99"/>
      <c r="T70" s="98">
        <f t="shared" ref="T70:T75" si="72">SUM(N70:Q70)</f>
        <v>4292277.22</v>
      </c>
      <c r="U70" s="98">
        <f t="shared" ref="U70:V81" si="73">T70</f>
        <v>4292277.22</v>
      </c>
      <c r="V70" s="98">
        <f t="shared" si="73"/>
        <v>4292277.22</v>
      </c>
      <c r="X70" s="93">
        <f>W69-U68</f>
        <v>-10752286.149999999</v>
      </c>
    </row>
    <row r="71" spans="1:32" ht="51" customHeight="1" x14ac:dyDescent="0.25">
      <c r="A71" s="92"/>
      <c r="B71" s="97" t="s">
        <v>338</v>
      </c>
      <c r="C71" s="877"/>
      <c r="D71" s="636" t="s">
        <v>130</v>
      </c>
      <c r="E71" s="104">
        <v>4</v>
      </c>
      <c r="F71" s="586">
        <v>2</v>
      </c>
      <c r="G71" s="684">
        <v>0</v>
      </c>
      <c r="H71" s="684">
        <v>0</v>
      </c>
      <c r="I71" s="684">
        <v>0</v>
      </c>
      <c r="J71" s="99">
        <v>62813.1</v>
      </c>
      <c r="K71" s="98">
        <f>46867.01+13060.92</f>
        <v>59927.93</v>
      </c>
      <c r="L71" s="107">
        <v>72362.48</v>
      </c>
      <c r="M71" s="98">
        <f t="shared" ref="M71" si="74">J71+K71+L71</f>
        <v>195103.51</v>
      </c>
      <c r="N71" s="98">
        <f t="shared" ref="N71" si="75">G71*J71</f>
        <v>0</v>
      </c>
      <c r="O71" s="99">
        <f t="shared" ref="O71" si="76">G71*K71</f>
        <v>0</v>
      </c>
      <c r="P71" s="110"/>
      <c r="Q71" s="99">
        <f>G71*L71</f>
        <v>0</v>
      </c>
      <c r="R71" s="99"/>
      <c r="S71" s="99"/>
      <c r="T71" s="98">
        <f t="shared" ref="T71" si="77">SUM(N71:Q71)</f>
        <v>0</v>
      </c>
      <c r="U71" s="98">
        <f t="shared" ref="U71" si="78">T71</f>
        <v>0</v>
      </c>
      <c r="V71" s="98">
        <f t="shared" ref="V71" si="79">U71</f>
        <v>0</v>
      </c>
      <c r="X71" s="93"/>
    </row>
    <row r="72" spans="1:32" ht="108.6" customHeight="1" x14ac:dyDescent="0.25">
      <c r="A72" s="97"/>
      <c r="B72" s="97" t="s">
        <v>340</v>
      </c>
      <c r="C72" s="92" t="s">
        <v>455</v>
      </c>
      <c r="D72" s="636" t="s">
        <v>130</v>
      </c>
      <c r="E72" s="104">
        <v>27</v>
      </c>
      <c r="F72" s="586">
        <v>20</v>
      </c>
      <c r="G72" s="684">
        <f>25-5</f>
        <v>20</v>
      </c>
      <c r="H72" s="684">
        <f>27-7</f>
        <v>20</v>
      </c>
      <c r="I72" s="684">
        <f>27-7</f>
        <v>20</v>
      </c>
      <c r="J72" s="99">
        <v>209100.19</v>
      </c>
      <c r="K72" s="98">
        <f>70240.51+13060.92*2</f>
        <v>96362.349999999991</v>
      </c>
      <c r="L72" s="107">
        <v>72362.48</v>
      </c>
      <c r="M72" s="98">
        <f t="shared" si="8"/>
        <v>377825.01999999996</v>
      </c>
      <c r="N72" s="98">
        <f>G72*J72</f>
        <v>4182003.8</v>
      </c>
      <c r="O72" s="99">
        <f>G72*K72+1625.13-1043.9-28009.16</f>
        <v>1899819.0699999998</v>
      </c>
      <c r="P72" s="110"/>
      <c r="Q72" s="99">
        <f>G72*L72</f>
        <v>1447249.5999999999</v>
      </c>
      <c r="R72" s="99"/>
      <c r="S72" s="99"/>
      <c r="T72" s="98">
        <f t="shared" si="72"/>
        <v>7529072.4699999988</v>
      </c>
      <c r="U72" s="98">
        <f t="shared" si="73"/>
        <v>7529072.4699999988</v>
      </c>
      <c r="V72" s="98">
        <f t="shared" si="73"/>
        <v>7529072.4699999988</v>
      </c>
    </row>
    <row r="73" spans="1:32" ht="33" customHeight="1" x14ac:dyDescent="0.25">
      <c r="A73" s="487" t="s">
        <v>579</v>
      </c>
      <c r="B73" s="97" t="s">
        <v>340</v>
      </c>
      <c r="C73" s="879" t="s">
        <v>454</v>
      </c>
      <c r="D73" s="636" t="s">
        <v>130</v>
      </c>
      <c r="E73" s="104">
        <v>1</v>
      </c>
      <c r="F73" s="586">
        <f>1</f>
        <v>1</v>
      </c>
      <c r="G73" s="109">
        <v>1</v>
      </c>
      <c r="H73" s="109">
        <v>1</v>
      </c>
      <c r="I73" s="109">
        <v>1</v>
      </c>
      <c r="J73" s="99">
        <v>95705.64</v>
      </c>
      <c r="K73" s="98">
        <f>35180.26+13060.92</f>
        <v>48241.18</v>
      </c>
      <c r="L73" s="107">
        <v>72362.48</v>
      </c>
      <c r="M73" s="98">
        <f t="shared" si="8"/>
        <v>216309.3</v>
      </c>
      <c r="N73" s="98">
        <f t="shared" si="70"/>
        <v>95705.64</v>
      </c>
      <c r="O73" s="99">
        <f t="shared" si="71"/>
        <v>48241.18</v>
      </c>
      <c r="P73" s="110"/>
      <c r="Q73" s="99">
        <f t="shared" ref="Q73:Q74" si="80">G73*L73</f>
        <v>72362.48</v>
      </c>
      <c r="R73" s="99"/>
      <c r="S73" s="99"/>
      <c r="T73" s="98">
        <f t="shared" si="72"/>
        <v>216309.3</v>
      </c>
      <c r="U73" s="98">
        <f t="shared" si="73"/>
        <v>216309.3</v>
      </c>
      <c r="V73" s="98">
        <f t="shared" si="73"/>
        <v>216309.3</v>
      </c>
    </row>
    <row r="74" spans="1:32" ht="42.6" customHeight="1" x14ac:dyDescent="0.25">
      <c r="A74" s="92"/>
      <c r="B74" s="97" t="s">
        <v>340</v>
      </c>
      <c r="C74" s="880"/>
      <c r="D74" s="636" t="s">
        <v>130</v>
      </c>
      <c r="E74" s="104">
        <v>11</v>
      </c>
      <c r="F74" s="586">
        <v>10</v>
      </c>
      <c r="G74" s="684">
        <f>11-1</f>
        <v>10</v>
      </c>
      <c r="H74" s="684">
        <f>10</f>
        <v>10</v>
      </c>
      <c r="I74" s="684">
        <f>10</f>
        <v>10</v>
      </c>
      <c r="J74" s="99">
        <v>95705.64</v>
      </c>
      <c r="K74" s="98">
        <f>35180.26+13060.92</f>
        <v>48241.18</v>
      </c>
      <c r="L74" s="107">
        <v>72362.48</v>
      </c>
      <c r="M74" s="98">
        <f t="shared" si="8"/>
        <v>216309.3</v>
      </c>
      <c r="N74" s="98">
        <f t="shared" si="70"/>
        <v>957056.4</v>
      </c>
      <c r="O74" s="99">
        <f t="shared" si="71"/>
        <v>482411.8</v>
      </c>
      <c r="P74" s="110"/>
      <c r="Q74" s="99">
        <f t="shared" si="80"/>
        <v>723624.79999999993</v>
      </c>
      <c r="R74" s="99"/>
      <c r="S74" s="99"/>
      <c r="T74" s="98">
        <f t="shared" si="72"/>
        <v>2163093</v>
      </c>
      <c r="U74" s="98">
        <f t="shared" si="73"/>
        <v>2163093</v>
      </c>
      <c r="V74" s="98">
        <f t="shared" si="73"/>
        <v>2163093</v>
      </c>
    </row>
    <row r="75" spans="1:32" ht="46.2" customHeight="1" x14ac:dyDescent="0.25">
      <c r="A75" s="97"/>
      <c r="B75" s="97" t="s">
        <v>338</v>
      </c>
      <c r="C75" s="881"/>
      <c r="D75" s="636" t="s">
        <v>130</v>
      </c>
      <c r="E75" s="104">
        <v>48</v>
      </c>
      <c r="F75" s="586">
        <v>50</v>
      </c>
      <c r="G75" s="586">
        <f>50</f>
        <v>50</v>
      </c>
      <c r="H75" s="586">
        <f>50</f>
        <v>50</v>
      </c>
      <c r="I75" s="586">
        <f>50</f>
        <v>50</v>
      </c>
      <c r="J75" s="99">
        <v>95705.64</v>
      </c>
      <c r="K75" s="98">
        <f>35180.26+13060.92</f>
        <v>48241.18</v>
      </c>
      <c r="L75" s="107">
        <v>72362.48</v>
      </c>
      <c r="M75" s="98">
        <f t="shared" si="8"/>
        <v>216309.3</v>
      </c>
      <c r="N75" s="98">
        <f t="shared" si="70"/>
        <v>4785282</v>
      </c>
      <c r="O75" s="101">
        <f t="shared" si="71"/>
        <v>2412059</v>
      </c>
      <c r="P75" s="110"/>
      <c r="Q75" s="99">
        <f>G75*L75</f>
        <v>3618124</v>
      </c>
      <c r="R75" s="99"/>
      <c r="S75" s="99"/>
      <c r="T75" s="98">
        <f t="shared" si="72"/>
        <v>10815465</v>
      </c>
      <c r="U75" s="98">
        <f t="shared" si="73"/>
        <v>10815465</v>
      </c>
      <c r="V75" s="98">
        <f t="shared" si="73"/>
        <v>10815465</v>
      </c>
      <c r="W75" s="93">
        <f>T75-U75</f>
        <v>0</v>
      </c>
    </row>
    <row r="76" spans="1:32" s="378" customFormat="1" ht="95.4" customHeight="1" x14ac:dyDescent="0.25">
      <c r="A76" s="374"/>
      <c r="B76" s="374" t="s">
        <v>340</v>
      </c>
      <c r="C76" s="655" t="s">
        <v>456</v>
      </c>
      <c r="D76" s="374" t="s">
        <v>130</v>
      </c>
      <c r="E76" s="375">
        <v>27</v>
      </c>
      <c r="F76" s="685">
        <v>20</v>
      </c>
      <c r="G76" s="685">
        <f>20</f>
        <v>20</v>
      </c>
      <c r="H76" s="685">
        <f>20</f>
        <v>20</v>
      </c>
      <c r="I76" s="685">
        <f>20</f>
        <v>20</v>
      </c>
      <c r="J76" s="376">
        <v>5558.83</v>
      </c>
      <c r="K76" s="376">
        <v>0</v>
      </c>
      <c r="L76" s="376">
        <v>0</v>
      </c>
      <c r="M76" s="376">
        <f t="shared" si="8"/>
        <v>5558.83</v>
      </c>
      <c r="N76" s="376">
        <f t="shared" si="70"/>
        <v>111176.6</v>
      </c>
      <c r="O76" s="376">
        <f t="shared" si="71"/>
        <v>0</v>
      </c>
      <c r="P76" s="375"/>
      <c r="Q76" s="376">
        <f>G76*L76</f>
        <v>0</v>
      </c>
      <c r="R76" s="376"/>
      <c r="S76" s="376"/>
      <c r="T76" s="376">
        <f>N76</f>
        <v>111176.6</v>
      </c>
      <c r="U76" s="376">
        <f t="shared" si="73"/>
        <v>111176.6</v>
      </c>
      <c r="V76" s="376">
        <f t="shared" si="73"/>
        <v>111176.6</v>
      </c>
      <c r="W76" s="637"/>
      <c r="AD76" s="83"/>
      <c r="AE76" s="83"/>
      <c r="AF76" s="83"/>
    </row>
    <row r="77" spans="1:32" ht="66.599999999999994" customHeight="1" x14ac:dyDescent="0.25">
      <c r="A77" s="374"/>
      <c r="B77" s="374" t="s">
        <v>340</v>
      </c>
      <c r="C77" s="884" t="s">
        <v>457</v>
      </c>
      <c r="D77" s="374" t="s">
        <v>130</v>
      </c>
      <c r="E77" s="375">
        <v>12</v>
      </c>
      <c r="F77" s="685">
        <f>12-3</f>
        <v>9</v>
      </c>
      <c r="G77" s="685">
        <f>11</f>
        <v>11</v>
      </c>
      <c r="H77" s="685">
        <f>12</f>
        <v>12</v>
      </c>
      <c r="I77" s="685">
        <f>12</f>
        <v>12</v>
      </c>
      <c r="J77" s="376">
        <v>3090.14</v>
      </c>
      <c r="K77" s="376">
        <v>0</v>
      </c>
      <c r="L77" s="376">
        <v>0</v>
      </c>
      <c r="M77" s="376">
        <f t="shared" si="8"/>
        <v>3090.14</v>
      </c>
      <c r="N77" s="376">
        <f t="shared" si="70"/>
        <v>33991.54</v>
      </c>
      <c r="O77" s="376">
        <f t="shared" si="71"/>
        <v>0</v>
      </c>
      <c r="P77" s="375"/>
      <c r="Q77" s="376">
        <f>G77*L77</f>
        <v>0</v>
      </c>
      <c r="R77" s="376"/>
      <c r="S77" s="376"/>
      <c r="T77" s="376">
        <f>N77</f>
        <v>33991.54</v>
      </c>
      <c r="U77" s="376">
        <f t="shared" si="73"/>
        <v>33991.54</v>
      </c>
      <c r="V77" s="376">
        <f t="shared" si="73"/>
        <v>33991.54</v>
      </c>
    </row>
    <row r="78" spans="1:32" ht="27" customHeight="1" x14ac:dyDescent="0.25">
      <c r="A78" s="374"/>
      <c r="B78" s="374" t="s">
        <v>343</v>
      </c>
      <c r="C78" s="885"/>
      <c r="D78" s="374" t="s">
        <v>130</v>
      </c>
      <c r="E78" s="375">
        <v>48</v>
      </c>
      <c r="F78" s="685">
        <v>52</v>
      </c>
      <c r="G78" s="685">
        <f>50</f>
        <v>50</v>
      </c>
      <c r="H78" s="685">
        <f>48+2</f>
        <v>50</v>
      </c>
      <c r="I78" s="685">
        <f>48+2</f>
        <v>50</v>
      </c>
      <c r="J78" s="376">
        <v>3090.14</v>
      </c>
      <c r="K78" s="376">
        <v>0</v>
      </c>
      <c r="L78" s="376">
        <v>0</v>
      </c>
      <c r="M78" s="376">
        <f t="shared" si="8"/>
        <v>3090.14</v>
      </c>
      <c r="N78" s="376">
        <f t="shared" si="70"/>
        <v>154507</v>
      </c>
      <c r="O78" s="376">
        <f t="shared" si="71"/>
        <v>0</v>
      </c>
      <c r="P78" s="375"/>
      <c r="Q78" s="376">
        <f t="shared" ref="Q78:Q81" si="81">G78*L78</f>
        <v>0</v>
      </c>
      <c r="R78" s="376"/>
      <c r="S78" s="376"/>
      <c r="T78" s="376">
        <f>N78</f>
        <v>154507</v>
      </c>
      <c r="U78" s="376">
        <f t="shared" si="73"/>
        <v>154507</v>
      </c>
      <c r="V78" s="376">
        <f t="shared" si="73"/>
        <v>154507</v>
      </c>
    </row>
    <row r="79" spans="1:32" ht="27" customHeight="1" x14ac:dyDescent="0.25">
      <c r="A79" s="374"/>
      <c r="B79" s="374" t="s">
        <v>343</v>
      </c>
      <c r="C79" s="878" t="s">
        <v>300</v>
      </c>
      <c r="D79" s="374"/>
      <c r="E79" s="375">
        <v>4</v>
      </c>
      <c r="F79" s="685">
        <v>4</v>
      </c>
      <c r="G79" s="685">
        <v>4</v>
      </c>
      <c r="H79" s="685">
        <v>4</v>
      </c>
      <c r="I79" s="685">
        <v>4</v>
      </c>
      <c r="J79" s="376">
        <v>3090.14</v>
      </c>
      <c r="K79" s="376">
        <v>0</v>
      </c>
      <c r="L79" s="376">
        <v>0</v>
      </c>
      <c r="M79" s="376">
        <f t="shared" ref="M79" si="82">J79+K79+L79</f>
        <v>3090.14</v>
      </c>
      <c r="N79" s="376">
        <f t="shared" ref="N79" si="83">G79*J79</f>
        <v>12360.56</v>
      </c>
      <c r="O79" s="376">
        <f t="shared" ref="O79" si="84">G79*K79</f>
        <v>0</v>
      </c>
      <c r="P79" s="375"/>
      <c r="Q79" s="376">
        <f t="shared" ref="Q79" si="85">G79*L79</f>
        <v>0</v>
      </c>
      <c r="R79" s="376"/>
      <c r="S79" s="376"/>
      <c r="T79" s="376">
        <f>N79</f>
        <v>12360.56</v>
      </c>
      <c r="U79" s="376">
        <f t="shared" ref="U79" si="86">T79</f>
        <v>12360.56</v>
      </c>
      <c r="V79" s="376">
        <f t="shared" ref="V79" si="87">U79</f>
        <v>12360.56</v>
      </c>
    </row>
    <row r="80" spans="1:32" ht="49.95" customHeight="1" x14ac:dyDescent="0.25">
      <c r="A80" s="374"/>
      <c r="B80" s="374" t="s">
        <v>129</v>
      </c>
      <c r="C80" s="878"/>
      <c r="D80" s="374" t="s">
        <v>130</v>
      </c>
      <c r="E80" s="375">
        <v>17</v>
      </c>
      <c r="F80" s="685">
        <v>18</v>
      </c>
      <c r="G80" s="685">
        <v>18</v>
      </c>
      <c r="H80" s="685">
        <v>18</v>
      </c>
      <c r="I80" s="685">
        <v>18</v>
      </c>
      <c r="J80" s="376">
        <v>3090.14</v>
      </c>
      <c r="K80" s="376">
        <v>0</v>
      </c>
      <c r="L80" s="376">
        <v>0</v>
      </c>
      <c r="M80" s="376">
        <f t="shared" si="8"/>
        <v>3090.14</v>
      </c>
      <c r="N80" s="376">
        <f t="shared" si="70"/>
        <v>55622.52</v>
      </c>
      <c r="O80" s="376">
        <f t="shared" si="71"/>
        <v>0</v>
      </c>
      <c r="P80" s="375"/>
      <c r="Q80" s="376">
        <f t="shared" si="81"/>
        <v>0</v>
      </c>
      <c r="R80" s="376"/>
      <c r="S80" s="376"/>
      <c r="T80" s="376">
        <f>N80</f>
        <v>55622.52</v>
      </c>
      <c r="U80" s="376">
        <f t="shared" si="73"/>
        <v>55622.52</v>
      </c>
      <c r="V80" s="376">
        <f t="shared" si="73"/>
        <v>55622.52</v>
      </c>
    </row>
    <row r="81" spans="1:32" ht="59.4" customHeight="1" x14ac:dyDescent="0.25">
      <c r="A81" s="92" t="s">
        <v>133</v>
      </c>
      <c r="B81" s="97" t="s">
        <v>137</v>
      </c>
      <c r="C81" s="97" t="s">
        <v>54</v>
      </c>
      <c r="D81" s="636" t="s">
        <v>130</v>
      </c>
      <c r="E81" s="104">
        <f>E70+E72+E73+E75+E74+E71</f>
        <v>108</v>
      </c>
      <c r="F81" s="683">
        <f>F70+F71+F72+F73+F74+F75</f>
        <v>103</v>
      </c>
      <c r="G81" s="684">
        <f>G70+G71+G72+G73+G74+G75</f>
        <v>103</v>
      </c>
      <c r="H81" s="684">
        <f t="shared" ref="H81:I81" si="88">H70+H72+H73+H75+H74+H71</f>
        <v>103</v>
      </c>
      <c r="I81" s="684">
        <f t="shared" si="88"/>
        <v>103</v>
      </c>
      <c r="J81" s="99">
        <v>0</v>
      </c>
      <c r="K81" s="98">
        <v>0</v>
      </c>
      <c r="L81" s="107">
        <v>61511.06</v>
      </c>
      <c r="M81" s="98">
        <f>J81+K81+L81</f>
        <v>61511.06</v>
      </c>
      <c r="N81" s="118">
        <f>E81*J81</f>
        <v>0</v>
      </c>
      <c r="O81" s="99">
        <f>G81*K81</f>
        <v>0</v>
      </c>
      <c r="P81" s="110"/>
      <c r="Q81" s="107">
        <f t="shared" si="81"/>
        <v>6335639.1799999997</v>
      </c>
      <c r="R81" s="99"/>
      <c r="S81" s="99"/>
      <c r="T81" s="102">
        <f>SUM(N81:Q81)</f>
        <v>6335639.1799999997</v>
      </c>
      <c r="U81" s="98">
        <f t="shared" si="73"/>
        <v>6335639.1799999997</v>
      </c>
      <c r="V81" s="98">
        <f t="shared" si="73"/>
        <v>6335639.1799999997</v>
      </c>
    </row>
    <row r="82" spans="1:32" ht="21" customHeight="1" x14ac:dyDescent="0.25">
      <c r="A82" s="490" t="s">
        <v>531</v>
      </c>
      <c r="B82" s="97" t="s">
        <v>137</v>
      </c>
      <c r="C82" s="97" t="s">
        <v>135</v>
      </c>
      <c r="D82" s="636"/>
      <c r="E82" s="110"/>
      <c r="F82" s="104"/>
      <c r="G82" s="683">
        <f>G81</f>
        <v>103</v>
      </c>
      <c r="H82" s="114">
        <f>H81</f>
        <v>103</v>
      </c>
      <c r="I82" s="114">
        <f>I81</f>
        <v>103</v>
      </c>
      <c r="J82" s="99">
        <v>0</v>
      </c>
      <c r="K82" s="98">
        <v>0</v>
      </c>
      <c r="L82" s="107">
        <v>20437.68</v>
      </c>
      <c r="M82" s="98">
        <f t="shared" si="8"/>
        <v>20437.68</v>
      </c>
      <c r="N82" s="110"/>
      <c r="O82" s="98"/>
      <c r="P82" s="110"/>
      <c r="Q82" s="99"/>
      <c r="R82" s="99"/>
      <c r="S82" s="107">
        <f>G82*L82</f>
        <v>2105081.04</v>
      </c>
      <c r="T82" s="102">
        <f>S82</f>
        <v>2105081.04</v>
      </c>
      <c r="U82" s="98">
        <f>T82</f>
        <v>2105081.04</v>
      </c>
      <c r="V82" s="98">
        <f>U82</f>
        <v>2105081.04</v>
      </c>
    </row>
    <row r="83" spans="1:32" ht="35.4" customHeight="1" x14ac:dyDescent="0.25">
      <c r="A83" s="864" t="s">
        <v>529</v>
      </c>
      <c r="B83" s="866" t="s">
        <v>530</v>
      </c>
      <c r="C83" s="669"/>
      <c r="D83" s="747" t="s">
        <v>24</v>
      </c>
      <c r="E83" s="748"/>
      <c r="F83" s="748">
        <v>24</v>
      </c>
      <c r="G83" s="749">
        <v>24</v>
      </c>
      <c r="H83" s="757">
        <v>24</v>
      </c>
      <c r="I83" s="757">
        <v>24</v>
      </c>
      <c r="J83" s="753">
        <f>N84/J84-0.77</f>
        <v>-0.77</v>
      </c>
      <c r="K83" s="751"/>
      <c r="L83" s="752"/>
      <c r="M83" s="751">
        <f>N83</f>
        <v>0</v>
      </c>
      <c r="N83" s="748">
        <v>0</v>
      </c>
      <c r="O83" s="751"/>
      <c r="P83" s="748"/>
      <c r="Q83" s="751"/>
      <c r="R83" s="751"/>
      <c r="S83" s="753"/>
      <c r="T83" s="753">
        <f>SUM(N83:Q83)</f>
        <v>0</v>
      </c>
      <c r="U83" s="753"/>
      <c r="V83" s="753"/>
    </row>
    <row r="84" spans="1:32" ht="33.6" customHeight="1" x14ac:dyDescent="0.25">
      <c r="A84" s="865"/>
      <c r="B84" s="867"/>
      <c r="C84" s="669"/>
      <c r="D84" s="754" t="s">
        <v>235</v>
      </c>
      <c r="E84" s="748">
        <v>0</v>
      </c>
      <c r="F84" s="748">
        <f>26*F83</f>
        <v>624</v>
      </c>
      <c r="G84" s="773">
        <f>14*2*G83-672</f>
        <v>0</v>
      </c>
      <c r="H84" s="793">
        <f>36*2*H83-1728</f>
        <v>0</v>
      </c>
      <c r="I84" s="793">
        <f>36*2*I83-1728</f>
        <v>0</v>
      </c>
      <c r="J84" s="750">
        <v>279.41000000000003</v>
      </c>
      <c r="K84" s="751"/>
      <c r="L84" s="752"/>
      <c r="M84" s="751"/>
      <c r="N84" s="792">
        <f>G84*J84+214.48-214.48</f>
        <v>0</v>
      </c>
      <c r="O84" s="751"/>
      <c r="P84" s="748"/>
      <c r="Q84" s="751"/>
      <c r="R84" s="751"/>
      <c r="S84" s="753"/>
      <c r="T84" s="750">
        <f>SUM(N84:Q84)</f>
        <v>0</v>
      </c>
      <c r="U84" s="753">
        <f>H84*J84</f>
        <v>0</v>
      </c>
      <c r="V84" s="753">
        <f>I84*J84</f>
        <v>0</v>
      </c>
    </row>
    <row r="85" spans="1:32" ht="21" customHeight="1" x14ac:dyDescent="0.25">
      <c r="A85" s="97"/>
      <c r="B85" s="97"/>
      <c r="C85" s="423" t="s">
        <v>38</v>
      </c>
      <c r="D85" s="636"/>
      <c r="E85" s="110"/>
      <c r="F85" s="104">
        <v>24</v>
      </c>
      <c r="G85" s="109">
        <v>24</v>
      </c>
      <c r="H85" s="684">
        <v>24</v>
      </c>
      <c r="I85" s="684">
        <v>24</v>
      </c>
      <c r="J85" s="99" t="s">
        <v>26</v>
      </c>
      <c r="K85" s="98" t="s">
        <v>26</v>
      </c>
      <c r="L85" s="101" t="s">
        <v>26</v>
      </c>
      <c r="M85" s="98"/>
      <c r="N85" s="110"/>
      <c r="O85" s="98"/>
      <c r="P85" s="110"/>
      <c r="Q85" s="99"/>
      <c r="R85" s="99"/>
      <c r="S85" s="105"/>
      <c r="T85" s="106"/>
      <c r="U85" s="106"/>
      <c r="V85" s="106"/>
    </row>
    <row r="86" spans="1:32" ht="25.95" customHeight="1" x14ac:dyDescent="0.25">
      <c r="A86" s="112" t="s">
        <v>146</v>
      </c>
      <c r="B86" s="96"/>
      <c r="C86" s="96"/>
      <c r="D86" s="112"/>
      <c r="E86" s="113"/>
      <c r="F86" s="114"/>
      <c r="G86" s="114"/>
      <c r="H86" s="113"/>
      <c r="I86" s="113"/>
      <c r="J86" s="101"/>
      <c r="K86" s="98"/>
      <c r="L86" s="101"/>
      <c r="M86" s="98">
        <f t="shared" si="8"/>
        <v>0</v>
      </c>
      <c r="N86" s="101">
        <f>N87</f>
        <v>10827751.16</v>
      </c>
      <c r="O86" s="101">
        <f>O87</f>
        <v>5576513.2599999998</v>
      </c>
      <c r="P86" s="114"/>
      <c r="Q86" s="777">
        <f>Q87+Q97</f>
        <v>12985733.379999999</v>
      </c>
      <c r="R86" s="101"/>
      <c r="S86" s="101">
        <f>S98</f>
        <v>1982454.96</v>
      </c>
      <c r="T86" s="101">
        <f>T87+T97+T98</f>
        <v>31372452.759999998</v>
      </c>
      <c r="U86" s="102">
        <f>U87+U97+U98</f>
        <v>31372452.759999998</v>
      </c>
      <c r="V86" s="102">
        <f>V87+V97+V98</f>
        <v>31372452.759999998</v>
      </c>
      <c r="W86" s="93">
        <v>6315385.3799999999</v>
      </c>
      <c r="X86" s="93">
        <f>W86-Q86</f>
        <v>-6670347.9999999991</v>
      </c>
      <c r="Y86" s="83">
        <f>X86/G97</f>
        <v>-68766.474226804115</v>
      </c>
      <c r="AA86" s="83">
        <v>5964695.5300000003</v>
      </c>
      <c r="AB86" s="93">
        <f>AA86-Q86</f>
        <v>-7021037.8499999987</v>
      </c>
      <c r="AC86" s="83">
        <f>AB86/I97</f>
        <v>-72381.833505154631</v>
      </c>
    </row>
    <row r="87" spans="1:32" ht="72" customHeight="1" x14ac:dyDescent="0.25">
      <c r="A87" s="92" t="s">
        <v>127</v>
      </c>
      <c r="B87" s="87" t="s">
        <v>128</v>
      </c>
      <c r="C87" s="87"/>
      <c r="D87" s="636"/>
      <c r="E87" s="110"/>
      <c r="F87" s="104"/>
      <c r="G87" s="104"/>
      <c r="H87" s="110"/>
      <c r="I87" s="110"/>
      <c r="J87" s="99"/>
      <c r="K87" s="98"/>
      <c r="L87" s="99"/>
      <c r="M87" s="98"/>
      <c r="N87" s="98">
        <f>SUM(N88:N96)</f>
        <v>10827751.16</v>
      </c>
      <c r="O87" s="98">
        <f>SUM(O88:O96)</f>
        <v>5576513.2599999998</v>
      </c>
      <c r="P87" s="110"/>
      <c r="Q87" s="107">
        <f>SUM(Q88:Q96)</f>
        <v>7019160.5599999996</v>
      </c>
      <c r="R87" s="99"/>
      <c r="S87" s="99"/>
      <c r="T87" s="102">
        <f>SUM(T88:T96)</f>
        <v>23423424.979999997</v>
      </c>
      <c r="U87" s="98">
        <f>SUM(U88:U96)</f>
        <v>23423424.979999997</v>
      </c>
      <c r="V87" s="98">
        <f>SUM(V88:V96)</f>
        <v>23423424.979999997</v>
      </c>
      <c r="W87" s="93">
        <v>15874228.029999999</v>
      </c>
      <c r="AA87" s="93">
        <f>15874228.03+U98</f>
        <v>17856682.989999998</v>
      </c>
      <c r="AB87" s="93">
        <f>U86-AA87</f>
        <v>13515769.77</v>
      </c>
    </row>
    <row r="88" spans="1:32" ht="106.95" customHeight="1" x14ac:dyDescent="0.25">
      <c r="A88" s="92"/>
      <c r="B88" s="97" t="s">
        <v>129</v>
      </c>
      <c r="C88" s="92" t="s">
        <v>298</v>
      </c>
      <c r="D88" s="636" t="s">
        <v>130</v>
      </c>
      <c r="E88" s="104">
        <v>22</v>
      </c>
      <c r="F88" s="586">
        <f>22-7</f>
        <v>15</v>
      </c>
      <c r="G88" s="684">
        <v>15</v>
      </c>
      <c r="H88" s="684">
        <v>15</v>
      </c>
      <c r="I88" s="684">
        <v>15</v>
      </c>
      <c r="J88" s="99">
        <v>62813.1</v>
      </c>
      <c r="K88" s="98">
        <f>46867.01+13060.92*1</f>
        <v>59927.93</v>
      </c>
      <c r="L88" s="107">
        <v>72362.48</v>
      </c>
      <c r="M88" s="98">
        <f t="shared" si="8"/>
        <v>195103.51</v>
      </c>
      <c r="N88" s="98">
        <f>G88*J88</f>
        <v>942196.5</v>
      </c>
      <c r="O88" s="98">
        <f>G88*K88</f>
        <v>898918.95</v>
      </c>
      <c r="P88" s="110"/>
      <c r="Q88" s="99">
        <f>G88*L88</f>
        <v>1085437.2</v>
      </c>
      <c r="R88" s="99"/>
      <c r="S88" s="99"/>
      <c r="T88" s="98">
        <f>SUM(N88:Q88)</f>
        <v>2926552.65</v>
      </c>
      <c r="U88" s="98">
        <f>T88</f>
        <v>2926552.65</v>
      </c>
      <c r="V88" s="98">
        <f>U88</f>
        <v>2926552.65</v>
      </c>
    </row>
    <row r="89" spans="1:32" ht="106.95" customHeight="1" x14ac:dyDescent="0.25">
      <c r="A89" s="92"/>
      <c r="B89" s="380" t="s">
        <v>340</v>
      </c>
      <c r="C89" s="92" t="s">
        <v>480</v>
      </c>
      <c r="D89" s="636" t="s">
        <v>130</v>
      </c>
      <c r="E89" s="104">
        <v>12</v>
      </c>
      <c r="F89" s="104">
        <v>15</v>
      </c>
      <c r="G89" s="684">
        <v>15</v>
      </c>
      <c r="H89" s="684">
        <v>15</v>
      </c>
      <c r="I89" s="684">
        <v>15</v>
      </c>
      <c r="J89" s="99">
        <v>209100.19</v>
      </c>
      <c r="K89" s="98">
        <f>70240.51+13060.92*2</f>
        <v>96362.349999999991</v>
      </c>
      <c r="L89" s="107">
        <v>72362.48</v>
      </c>
      <c r="M89" s="98">
        <f t="shared" ref="M89" si="89">J89+K89+L89</f>
        <v>377825.01999999996</v>
      </c>
      <c r="N89" s="98">
        <f>G89*J89</f>
        <v>3136502.85</v>
      </c>
      <c r="O89" s="98">
        <f>G89*K89+21293.41-21293.41</f>
        <v>1445435.2499999998</v>
      </c>
      <c r="P89" s="110"/>
      <c r="Q89" s="99">
        <f>G89*L89</f>
        <v>1085437.2</v>
      </c>
      <c r="R89" s="99"/>
      <c r="S89" s="99"/>
      <c r="T89" s="98">
        <f>SUM(N89:Q89)</f>
        <v>5667375.2999999998</v>
      </c>
      <c r="U89" s="98">
        <f>T89</f>
        <v>5667375.2999999998</v>
      </c>
      <c r="V89" s="98">
        <f>U89</f>
        <v>5667375.2999999998</v>
      </c>
    </row>
    <row r="90" spans="1:32" ht="48.6" customHeight="1" x14ac:dyDescent="0.25">
      <c r="A90" s="92"/>
      <c r="B90" s="97" t="s">
        <v>338</v>
      </c>
      <c r="C90" s="869" t="s">
        <v>481</v>
      </c>
      <c r="D90" s="636" t="s">
        <v>130</v>
      </c>
      <c r="E90" s="104">
        <v>59</v>
      </c>
      <c r="F90" s="104">
        <v>58</v>
      </c>
      <c r="G90" s="684">
        <f>59-4</f>
        <v>55</v>
      </c>
      <c r="H90" s="684">
        <f>58-3</f>
        <v>55</v>
      </c>
      <c r="I90" s="684">
        <f>58-3</f>
        <v>55</v>
      </c>
      <c r="J90" s="99">
        <v>95705.64</v>
      </c>
      <c r="K90" s="98">
        <f>35180.26+13060.92</f>
        <v>48241.18</v>
      </c>
      <c r="L90" s="107">
        <v>72362.48</v>
      </c>
      <c r="M90" s="98">
        <f t="shared" si="8"/>
        <v>216309.3</v>
      </c>
      <c r="N90" s="98">
        <f t="shared" ref="N90:N97" si="90">G90*J90</f>
        <v>5263810.2</v>
      </c>
      <c r="O90" s="98">
        <f>G90*K90</f>
        <v>2653264.9</v>
      </c>
      <c r="P90" s="110"/>
      <c r="Q90" s="99">
        <f>G90*L90</f>
        <v>3979936.4</v>
      </c>
      <c r="R90" s="99"/>
      <c r="S90" s="99"/>
      <c r="T90" s="98">
        <f t="shared" ref="T90:T97" si="91">SUM(N90:Q90)</f>
        <v>11897011.5</v>
      </c>
      <c r="U90" s="98">
        <f t="shared" ref="U90:V97" si="92">T90</f>
        <v>11897011.5</v>
      </c>
      <c r="V90" s="98">
        <f>U90</f>
        <v>11897011.5</v>
      </c>
      <c r="X90" s="93">
        <f>W87-U86</f>
        <v>-15498224.729999999</v>
      </c>
    </row>
    <row r="91" spans="1:32" ht="40.200000000000003" customHeight="1" x14ac:dyDescent="0.25">
      <c r="A91" s="92"/>
      <c r="B91" s="97" t="s">
        <v>340</v>
      </c>
      <c r="C91" s="882"/>
      <c r="D91" s="636" t="s">
        <v>130</v>
      </c>
      <c r="E91" s="104">
        <v>11</v>
      </c>
      <c r="F91" s="104">
        <v>8</v>
      </c>
      <c r="G91" s="684">
        <v>12</v>
      </c>
      <c r="H91" s="684">
        <v>12</v>
      </c>
      <c r="I91" s="684">
        <v>12</v>
      </c>
      <c r="J91" s="99">
        <v>95705.64</v>
      </c>
      <c r="K91" s="98">
        <f>35180.26+13060.92</f>
        <v>48241.18</v>
      </c>
      <c r="L91" s="107">
        <v>72362.48</v>
      </c>
      <c r="M91" s="98">
        <f t="shared" si="8"/>
        <v>216309.3</v>
      </c>
      <c r="N91" s="98">
        <f>G91*J91</f>
        <v>1148467.68</v>
      </c>
      <c r="O91" s="98">
        <f t="shared" ref="O91" si="93">G91*K91</f>
        <v>578894.16</v>
      </c>
      <c r="P91" s="110"/>
      <c r="Q91" s="99">
        <f t="shared" ref="Q91" si="94">G91*L91</f>
        <v>868349.76</v>
      </c>
      <c r="R91" s="99"/>
      <c r="S91" s="99"/>
      <c r="T91" s="98">
        <f>SUM(N91:Q91)</f>
        <v>2595711.5999999996</v>
      </c>
      <c r="U91" s="98">
        <f t="shared" si="92"/>
        <v>2595711.5999999996</v>
      </c>
      <c r="V91" s="98">
        <f t="shared" si="92"/>
        <v>2595711.5999999996</v>
      </c>
    </row>
    <row r="92" spans="1:32" ht="39.6" customHeight="1" x14ac:dyDescent="0.25">
      <c r="A92" s="487" t="s">
        <v>604</v>
      </c>
      <c r="B92" s="97" t="s">
        <v>338</v>
      </c>
      <c r="C92" s="883"/>
      <c r="D92" s="636" t="s">
        <v>130</v>
      </c>
      <c r="E92" s="104">
        <v>1</v>
      </c>
      <c r="F92" s="104">
        <v>1</v>
      </c>
      <c r="G92" s="109">
        <v>0</v>
      </c>
      <c r="H92" s="109">
        <v>0</v>
      </c>
      <c r="I92" s="109">
        <v>0</v>
      </c>
      <c r="J92" s="99">
        <v>95705.64</v>
      </c>
      <c r="K92" s="98">
        <f>35180.26+13060.92</f>
        <v>48241.18</v>
      </c>
      <c r="L92" s="107">
        <v>72362.48</v>
      </c>
      <c r="M92" s="98">
        <f t="shared" si="8"/>
        <v>216309.3</v>
      </c>
      <c r="N92" s="98">
        <f>G92*J92</f>
        <v>0</v>
      </c>
      <c r="O92" s="98">
        <f>G92*K92</f>
        <v>0</v>
      </c>
      <c r="P92" s="110"/>
      <c r="Q92" s="99">
        <f>G92*L92</f>
        <v>0</v>
      </c>
      <c r="R92" s="99"/>
      <c r="S92" s="99"/>
      <c r="T92" s="98">
        <f t="shared" si="91"/>
        <v>0</v>
      </c>
      <c r="U92" s="98">
        <f t="shared" si="92"/>
        <v>0</v>
      </c>
      <c r="V92" s="98">
        <f>U92</f>
        <v>0</v>
      </c>
    </row>
    <row r="93" spans="1:32" s="378" customFormat="1" ht="85.95" customHeight="1" x14ac:dyDescent="0.25">
      <c r="A93" s="740"/>
      <c r="B93" s="374" t="s">
        <v>145</v>
      </c>
      <c r="C93" s="631" t="s">
        <v>301</v>
      </c>
      <c r="D93" s="374" t="s">
        <v>130</v>
      </c>
      <c r="E93" s="375">
        <v>22</v>
      </c>
      <c r="F93" s="375">
        <f>22-7</f>
        <v>15</v>
      </c>
      <c r="G93" s="772">
        <v>15</v>
      </c>
      <c r="H93" s="685">
        <v>15</v>
      </c>
      <c r="I93" s="685">
        <v>15</v>
      </c>
      <c r="J93" s="377">
        <v>3090.14</v>
      </c>
      <c r="K93" s="376">
        <v>0</v>
      </c>
      <c r="L93" s="376">
        <v>0</v>
      </c>
      <c r="M93" s="376">
        <f t="shared" si="8"/>
        <v>3090.14</v>
      </c>
      <c r="N93" s="376">
        <f>G93*J93</f>
        <v>46352.1</v>
      </c>
      <c r="O93" s="376">
        <f t="shared" ref="O93:O96" si="95">G93*K93</f>
        <v>0</v>
      </c>
      <c r="P93" s="375"/>
      <c r="Q93" s="376">
        <f>G93*L93</f>
        <v>0</v>
      </c>
      <c r="R93" s="376"/>
      <c r="S93" s="376"/>
      <c r="T93" s="376">
        <f t="shared" si="91"/>
        <v>46352.1</v>
      </c>
      <c r="U93" s="376">
        <f t="shared" si="92"/>
        <v>46352.1</v>
      </c>
      <c r="V93" s="376">
        <f t="shared" si="92"/>
        <v>46352.1</v>
      </c>
      <c r="AD93" s="83"/>
      <c r="AE93" s="83"/>
      <c r="AF93" s="83"/>
    </row>
    <row r="94" spans="1:32" s="378" customFormat="1" ht="105" customHeight="1" x14ac:dyDescent="0.25">
      <c r="A94" s="631"/>
      <c r="B94" s="374" t="s">
        <v>344</v>
      </c>
      <c r="C94" s="379" t="s">
        <v>480</v>
      </c>
      <c r="D94" s="374" t="s">
        <v>130</v>
      </c>
      <c r="E94" s="375">
        <v>12</v>
      </c>
      <c r="F94" s="375">
        <v>15</v>
      </c>
      <c r="G94" s="772">
        <v>15</v>
      </c>
      <c r="H94" s="685">
        <v>15</v>
      </c>
      <c r="I94" s="685">
        <v>15</v>
      </c>
      <c r="J94" s="377">
        <v>5558.83</v>
      </c>
      <c r="K94" s="376">
        <v>0</v>
      </c>
      <c r="L94" s="376">
        <v>0</v>
      </c>
      <c r="M94" s="376">
        <f t="shared" ref="M94:M172" si="96">J94+K94+L94</f>
        <v>5558.83</v>
      </c>
      <c r="N94" s="376">
        <f t="shared" si="90"/>
        <v>83382.45</v>
      </c>
      <c r="O94" s="376">
        <f t="shared" si="95"/>
        <v>0</v>
      </c>
      <c r="P94" s="375"/>
      <c r="Q94" s="376">
        <f>G94*L94</f>
        <v>0</v>
      </c>
      <c r="R94" s="376"/>
      <c r="S94" s="376"/>
      <c r="T94" s="376">
        <f t="shared" si="91"/>
        <v>83382.45</v>
      </c>
      <c r="U94" s="376">
        <f t="shared" si="92"/>
        <v>83382.45</v>
      </c>
      <c r="V94" s="376">
        <f>U94</f>
        <v>83382.45</v>
      </c>
      <c r="AD94" s="83"/>
      <c r="AE94" s="83"/>
      <c r="AF94" s="83"/>
    </row>
    <row r="95" spans="1:32" s="378" customFormat="1" ht="47.4" customHeight="1" x14ac:dyDescent="0.25">
      <c r="A95" s="631"/>
      <c r="B95" s="374" t="s">
        <v>344</v>
      </c>
      <c r="C95" s="884" t="s">
        <v>302</v>
      </c>
      <c r="D95" s="374" t="s">
        <v>130</v>
      </c>
      <c r="E95" s="375">
        <v>11</v>
      </c>
      <c r="F95" s="375">
        <v>8</v>
      </c>
      <c r="G95" s="772">
        <v>7</v>
      </c>
      <c r="H95" s="685">
        <v>7</v>
      </c>
      <c r="I95" s="685">
        <v>7</v>
      </c>
      <c r="J95" s="377">
        <v>3090.14</v>
      </c>
      <c r="K95" s="376">
        <v>0</v>
      </c>
      <c r="L95" s="376">
        <v>0</v>
      </c>
      <c r="M95" s="376">
        <f t="shared" si="96"/>
        <v>3090.14</v>
      </c>
      <c r="N95" s="376">
        <f t="shared" si="90"/>
        <v>21630.98</v>
      </c>
      <c r="O95" s="376">
        <f t="shared" si="95"/>
        <v>0</v>
      </c>
      <c r="P95" s="375"/>
      <c r="Q95" s="376">
        <f t="shared" ref="Q95:Q96" si="97">G95*L95</f>
        <v>0</v>
      </c>
      <c r="R95" s="376"/>
      <c r="S95" s="376"/>
      <c r="T95" s="376">
        <f t="shared" si="91"/>
        <v>21630.98</v>
      </c>
      <c r="U95" s="376">
        <f t="shared" si="92"/>
        <v>21630.98</v>
      </c>
      <c r="V95" s="376">
        <f t="shared" si="92"/>
        <v>21630.98</v>
      </c>
      <c r="AD95" s="83"/>
      <c r="AE95" s="83"/>
      <c r="AF95" s="83"/>
    </row>
    <row r="96" spans="1:32" s="378" customFormat="1" ht="43.2" customHeight="1" x14ac:dyDescent="0.25">
      <c r="A96" s="631"/>
      <c r="B96" s="374" t="s">
        <v>343</v>
      </c>
      <c r="C96" s="885"/>
      <c r="D96" s="374" t="s">
        <v>130</v>
      </c>
      <c r="E96" s="375">
        <v>60</v>
      </c>
      <c r="F96" s="375">
        <f>60-1</f>
        <v>59</v>
      </c>
      <c r="G96" s="772">
        <v>60</v>
      </c>
      <c r="H96" s="685">
        <v>60</v>
      </c>
      <c r="I96" s="685">
        <v>60</v>
      </c>
      <c r="J96" s="377">
        <v>3090.14</v>
      </c>
      <c r="K96" s="376">
        <v>0</v>
      </c>
      <c r="L96" s="376">
        <v>0</v>
      </c>
      <c r="M96" s="376">
        <f t="shared" si="96"/>
        <v>3090.14</v>
      </c>
      <c r="N96" s="376">
        <f>G96*J96</f>
        <v>185408.4</v>
      </c>
      <c r="O96" s="376">
        <f t="shared" si="95"/>
        <v>0</v>
      </c>
      <c r="P96" s="375"/>
      <c r="Q96" s="376">
        <f t="shared" si="97"/>
        <v>0</v>
      </c>
      <c r="R96" s="376"/>
      <c r="S96" s="376"/>
      <c r="T96" s="376">
        <f t="shared" si="91"/>
        <v>185408.4</v>
      </c>
      <c r="U96" s="376">
        <f t="shared" si="92"/>
        <v>185408.4</v>
      </c>
      <c r="V96" s="376">
        <f t="shared" si="92"/>
        <v>185408.4</v>
      </c>
      <c r="AD96" s="83"/>
      <c r="AE96" s="83"/>
      <c r="AF96" s="83"/>
    </row>
    <row r="97" spans="1:29" ht="58.95" customHeight="1" x14ac:dyDescent="0.25">
      <c r="A97" s="92" t="s">
        <v>133</v>
      </c>
      <c r="B97" s="97" t="s">
        <v>134</v>
      </c>
      <c r="C97" s="97" t="s">
        <v>54</v>
      </c>
      <c r="D97" s="636" t="s">
        <v>130</v>
      </c>
      <c r="E97" s="104">
        <f>E88+E90+E91+E92+E89</f>
        <v>105</v>
      </c>
      <c r="F97" s="683">
        <f t="shared" ref="F97:I97" si="98">F88+F90+F91+F92+F89</f>
        <v>97</v>
      </c>
      <c r="G97" s="684">
        <f>G88+G90+G91+G92+G89</f>
        <v>97</v>
      </c>
      <c r="H97" s="684">
        <f t="shared" si="98"/>
        <v>97</v>
      </c>
      <c r="I97" s="684">
        <f t="shared" si="98"/>
        <v>97</v>
      </c>
      <c r="J97" s="99"/>
      <c r="K97" s="99">
        <v>0</v>
      </c>
      <c r="L97" s="107">
        <v>61511.06</v>
      </c>
      <c r="M97" s="98">
        <f t="shared" si="96"/>
        <v>61511.06</v>
      </c>
      <c r="N97" s="98">
        <f t="shared" si="90"/>
        <v>0</v>
      </c>
      <c r="O97" s="99">
        <f>G97*K97</f>
        <v>0</v>
      </c>
      <c r="P97" s="110"/>
      <c r="Q97" s="107">
        <f>G97*L97</f>
        <v>5966572.8199999994</v>
      </c>
      <c r="R97" s="99"/>
      <c r="S97" s="99"/>
      <c r="T97" s="102">
        <f t="shared" si="91"/>
        <v>5966572.8199999994</v>
      </c>
      <c r="U97" s="98">
        <f t="shared" si="92"/>
        <v>5966572.8199999994</v>
      </c>
      <c r="V97" s="98">
        <f t="shared" si="92"/>
        <v>5966572.8199999994</v>
      </c>
    </row>
    <row r="98" spans="1:29" ht="24.6" customHeight="1" x14ac:dyDescent="0.25">
      <c r="A98" s="490" t="s">
        <v>475</v>
      </c>
      <c r="B98" s="97" t="s">
        <v>134</v>
      </c>
      <c r="C98" s="97" t="s">
        <v>135</v>
      </c>
      <c r="D98" s="636"/>
      <c r="E98" s="110"/>
      <c r="F98" s="104"/>
      <c r="G98" s="114">
        <f>G97</f>
        <v>97</v>
      </c>
      <c r="H98" s="114">
        <f>H97</f>
        <v>97</v>
      </c>
      <c r="I98" s="114">
        <f>I97</f>
        <v>97</v>
      </c>
      <c r="J98" s="99"/>
      <c r="K98" s="99">
        <v>0</v>
      </c>
      <c r="L98" s="107">
        <v>20437.68</v>
      </c>
      <c r="M98" s="98">
        <f t="shared" si="96"/>
        <v>20437.68</v>
      </c>
      <c r="N98" s="110"/>
      <c r="O98" s="98"/>
      <c r="P98" s="110"/>
      <c r="Q98" s="99"/>
      <c r="R98" s="99"/>
      <c r="S98" s="107">
        <f>G98*L98</f>
        <v>1982454.96</v>
      </c>
      <c r="T98" s="102">
        <f>S98</f>
        <v>1982454.96</v>
      </c>
      <c r="U98" s="98">
        <f>T98</f>
        <v>1982454.96</v>
      </c>
      <c r="V98" s="98">
        <f>U98</f>
        <v>1982454.96</v>
      </c>
    </row>
    <row r="99" spans="1:29" ht="29.4" customHeight="1" x14ac:dyDescent="0.25">
      <c r="A99" s="96" t="s">
        <v>147</v>
      </c>
      <c r="B99" s="96"/>
      <c r="C99" s="96"/>
      <c r="D99" s="112"/>
      <c r="E99" s="113"/>
      <c r="F99" s="114"/>
      <c r="G99" s="114"/>
      <c r="H99" s="113"/>
      <c r="I99" s="113"/>
      <c r="J99" s="101"/>
      <c r="K99" s="98"/>
      <c r="L99" s="101"/>
      <c r="M99" s="98">
        <f t="shared" si="96"/>
        <v>0</v>
      </c>
      <c r="N99" s="107">
        <f>N100+N132</f>
        <v>15547614.799999997</v>
      </c>
      <c r="O99" s="101">
        <f>O100</f>
        <v>9789756.1099999994</v>
      </c>
      <c r="P99" s="101"/>
      <c r="Q99" s="777">
        <f>Q100+Q129</f>
        <v>13521227.539999999</v>
      </c>
      <c r="R99" s="101"/>
      <c r="S99" s="101">
        <f>S130</f>
        <v>2064205.68</v>
      </c>
      <c r="T99" s="101">
        <f>T100+T129+T130+T132</f>
        <v>40922804.130000003</v>
      </c>
      <c r="U99" s="102">
        <f>U100+U129+U130+U132</f>
        <v>40922804.130000003</v>
      </c>
      <c r="V99" s="102">
        <f>V100+V129+V130+V132</f>
        <v>40922804.130000003</v>
      </c>
      <c r="W99" s="83">
        <v>11124194.529999999</v>
      </c>
      <c r="X99" s="93">
        <f>W99-Q99</f>
        <v>-2397033.0099999998</v>
      </c>
      <c r="Y99" s="83">
        <f>X99/G129</f>
        <v>-23733.0000990099</v>
      </c>
      <c r="AA99" s="83">
        <v>11727438.529999999</v>
      </c>
      <c r="AB99" s="93">
        <f>AA99-Q99</f>
        <v>-1793789.0099999998</v>
      </c>
      <c r="AC99" s="103">
        <f>AB99/I129</f>
        <v>-17760.287227722769</v>
      </c>
    </row>
    <row r="100" spans="1:29" ht="79.2" customHeight="1" x14ac:dyDescent="0.25">
      <c r="A100" s="92" t="s">
        <v>127</v>
      </c>
      <c r="B100" s="87" t="s">
        <v>128</v>
      </c>
      <c r="C100" s="87"/>
      <c r="D100" s="636"/>
      <c r="E100" s="110"/>
      <c r="F100" s="104"/>
      <c r="G100" s="104"/>
      <c r="H100" s="110"/>
      <c r="I100" s="110"/>
      <c r="J100" s="99"/>
      <c r="K100" s="98"/>
      <c r="L100" s="99"/>
      <c r="M100" s="98"/>
      <c r="N100" s="98">
        <f>SUM(N101:N128)</f>
        <v>15547614.799999997</v>
      </c>
      <c r="O100" s="98">
        <f>SUM(O101:O128)</f>
        <v>9789756.1099999994</v>
      </c>
      <c r="P100" s="98">
        <f>P101+P116+P128+P112+P103+P124+P118+P107+P102+P113+P117+P119+P121+P125</f>
        <v>0</v>
      </c>
      <c r="Q100" s="373">
        <f>SUM(Q101:Q128)</f>
        <v>7308610.4799999995</v>
      </c>
      <c r="R100" s="98">
        <f>R101+R116+R128+R112+R103+R124+R118+R107+R102+R113+R117+R119+R121+R125</f>
        <v>0</v>
      </c>
      <c r="S100" s="98">
        <f>S101+S116+S128+S112+S103+S124+S118+S107+S102+S113+S117+S119+S121+S125</f>
        <v>0</v>
      </c>
      <c r="T100" s="102">
        <f>SUM(T101:T128)</f>
        <v>32645981.390000001</v>
      </c>
      <c r="U100" s="98">
        <f>SUM(U101:U128)</f>
        <v>32645981.390000001</v>
      </c>
      <c r="V100" s="98">
        <f>SUM(V101:V128)</f>
        <v>32645981.390000001</v>
      </c>
      <c r="W100" s="93">
        <v>35333149.530000001</v>
      </c>
      <c r="AA100" s="93">
        <f>35333149.53+U130</f>
        <v>37397355.210000001</v>
      </c>
      <c r="AB100" s="93">
        <f>U99-AA100</f>
        <v>3525448.9200000018</v>
      </c>
    </row>
    <row r="101" spans="1:29" ht="58.95" customHeight="1" x14ac:dyDescent="0.25">
      <c r="A101" s="92"/>
      <c r="B101" s="97" t="s">
        <v>129</v>
      </c>
      <c r="C101" s="868" t="s">
        <v>458</v>
      </c>
      <c r="D101" s="636" t="s">
        <v>130</v>
      </c>
      <c r="E101" s="104">
        <v>0</v>
      </c>
      <c r="F101" s="114">
        <v>0</v>
      </c>
      <c r="G101" s="684">
        <v>0</v>
      </c>
      <c r="H101" s="684">
        <v>0</v>
      </c>
      <c r="I101" s="684">
        <v>0</v>
      </c>
      <c r="J101" s="99">
        <v>62813.1</v>
      </c>
      <c r="K101" s="98">
        <f>33955.33+14682.07</f>
        <v>48637.4</v>
      </c>
      <c r="L101" s="107">
        <v>72362.48</v>
      </c>
      <c r="M101" s="98">
        <f t="shared" si="96"/>
        <v>183812.97999999998</v>
      </c>
      <c r="N101" s="98">
        <f>G101*J101</f>
        <v>0</v>
      </c>
      <c r="O101" s="98">
        <f>G101*K101</f>
        <v>0</v>
      </c>
      <c r="P101" s="98"/>
      <c r="Q101" s="99">
        <f t="shared" ref="Q101:Q128" si="99">G101*L101</f>
        <v>0</v>
      </c>
      <c r="R101" s="99"/>
      <c r="S101" s="99"/>
      <c r="T101" s="98">
        <f>SUM(N101:Q101)</f>
        <v>0</v>
      </c>
      <c r="U101" s="98">
        <f t="shared" ref="U101:V129" si="100">T101</f>
        <v>0</v>
      </c>
      <c r="V101" s="98">
        <f t="shared" si="100"/>
        <v>0</v>
      </c>
      <c r="X101" s="93">
        <f>W100-U99</f>
        <v>-5589654.6000000015</v>
      </c>
      <c r="AA101" s="93"/>
    </row>
    <row r="102" spans="1:29" ht="43.95" customHeight="1" x14ac:dyDescent="0.25">
      <c r="A102" s="92"/>
      <c r="B102" s="97" t="s">
        <v>360</v>
      </c>
      <c r="C102" s="877"/>
      <c r="D102" s="636" t="s">
        <v>130</v>
      </c>
      <c r="E102" s="104">
        <v>0</v>
      </c>
      <c r="F102" s="114">
        <v>0</v>
      </c>
      <c r="G102" s="684">
        <v>0</v>
      </c>
      <c r="H102" s="684">
        <v>0</v>
      </c>
      <c r="I102" s="684">
        <v>0</v>
      </c>
      <c r="J102" s="99">
        <v>62813.1</v>
      </c>
      <c r="K102" s="98">
        <f>33955.33+14682.07</f>
        <v>48637.4</v>
      </c>
      <c r="L102" s="107">
        <v>72362.48</v>
      </c>
      <c r="M102" s="98">
        <f t="shared" si="96"/>
        <v>183812.97999999998</v>
      </c>
      <c r="N102" s="98">
        <f t="shared" ref="N102:N125" si="101">G102*J102</f>
        <v>0</v>
      </c>
      <c r="O102" s="98">
        <f t="shared" ref="O102:O116" si="102">G102*K102</f>
        <v>0</v>
      </c>
      <c r="P102" s="98"/>
      <c r="Q102" s="99">
        <f t="shared" si="99"/>
        <v>0</v>
      </c>
      <c r="R102" s="99"/>
      <c r="S102" s="99"/>
      <c r="T102" s="98">
        <f t="shared" ref="T102:T128" si="103">SUM(N102:Q102)</f>
        <v>0</v>
      </c>
      <c r="U102" s="98">
        <f t="shared" si="100"/>
        <v>0</v>
      </c>
      <c r="V102" s="98">
        <f t="shared" si="100"/>
        <v>0</v>
      </c>
      <c r="X102" s="93"/>
      <c r="AA102" s="93"/>
    </row>
    <row r="103" spans="1:29" ht="20.399999999999999" customHeight="1" x14ac:dyDescent="0.25">
      <c r="A103" s="92"/>
      <c r="B103" s="97" t="s">
        <v>340</v>
      </c>
      <c r="C103" s="868" t="s">
        <v>459</v>
      </c>
      <c r="D103" s="636" t="s">
        <v>130</v>
      </c>
      <c r="E103" s="104">
        <v>26</v>
      </c>
      <c r="F103" s="586">
        <f>14</f>
        <v>14</v>
      </c>
      <c r="G103" s="684">
        <f>22-8</f>
        <v>14</v>
      </c>
      <c r="H103" s="684">
        <f>22-8</f>
        <v>14</v>
      </c>
      <c r="I103" s="684">
        <f>22-8</f>
        <v>14</v>
      </c>
      <c r="J103" s="376">
        <v>209100.19</v>
      </c>
      <c r="K103" s="98">
        <f>70240.51+15452.52*2</f>
        <v>101145.54999999999</v>
      </c>
      <c r="L103" s="107">
        <v>72362.48</v>
      </c>
      <c r="M103" s="98">
        <f t="shared" si="96"/>
        <v>382608.22</v>
      </c>
      <c r="N103" s="98">
        <f>G103*J103</f>
        <v>2927402.66</v>
      </c>
      <c r="O103" s="98">
        <f>G103*K103+159699.9</f>
        <v>1575737.5999999996</v>
      </c>
      <c r="P103" s="110"/>
      <c r="Q103" s="99">
        <f t="shared" si="99"/>
        <v>1013074.72</v>
      </c>
      <c r="R103" s="99"/>
      <c r="S103" s="99"/>
      <c r="T103" s="98">
        <f t="shared" si="103"/>
        <v>5516214.9799999995</v>
      </c>
      <c r="U103" s="98">
        <f t="shared" si="100"/>
        <v>5516214.9799999995</v>
      </c>
      <c r="V103" s="98">
        <f t="shared" si="100"/>
        <v>5516214.9799999995</v>
      </c>
    </row>
    <row r="104" spans="1:29" ht="20.399999999999999" customHeight="1" x14ac:dyDescent="0.25">
      <c r="A104" s="92"/>
      <c r="B104" s="97" t="s">
        <v>550</v>
      </c>
      <c r="C104" s="869"/>
      <c r="D104" s="636"/>
      <c r="E104" s="104">
        <v>0</v>
      </c>
      <c r="F104" s="586">
        <v>2</v>
      </c>
      <c r="G104" s="684">
        <v>6</v>
      </c>
      <c r="H104" s="684">
        <v>6</v>
      </c>
      <c r="I104" s="684">
        <v>6</v>
      </c>
      <c r="J104" s="376">
        <v>416925.02</v>
      </c>
      <c r="K104" s="98">
        <f>157189.95+15452.52*4</f>
        <v>219000.03000000003</v>
      </c>
      <c r="L104" s="107">
        <v>72362.48</v>
      </c>
      <c r="M104" s="98">
        <f t="shared" ref="M104" si="104">J104+K104+L104</f>
        <v>708287.53</v>
      </c>
      <c r="N104" s="98">
        <f>G104*J104</f>
        <v>2501550.12</v>
      </c>
      <c r="O104" s="98">
        <f>G104*K104+159699.9</f>
        <v>1473700.08</v>
      </c>
      <c r="P104" s="110"/>
      <c r="Q104" s="99">
        <f t="shared" ref="Q104" si="105">G104*L104</f>
        <v>434174.88</v>
      </c>
      <c r="R104" s="99"/>
      <c r="S104" s="99"/>
      <c r="T104" s="98">
        <f t="shared" ref="T104" si="106">SUM(N104:Q104)</f>
        <v>4409425.08</v>
      </c>
      <c r="U104" s="98">
        <f t="shared" ref="U104" si="107">T104</f>
        <v>4409425.08</v>
      </c>
      <c r="V104" s="98">
        <f t="shared" ref="V104" si="108">U104</f>
        <v>4409425.08</v>
      </c>
    </row>
    <row r="105" spans="1:29" ht="20.399999999999999" customHeight="1" x14ac:dyDescent="0.25">
      <c r="A105" s="374" t="s">
        <v>349</v>
      </c>
      <c r="B105" s="97" t="s">
        <v>550</v>
      </c>
      <c r="C105" s="869"/>
      <c r="D105" s="636"/>
      <c r="E105" s="104">
        <v>0</v>
      </c>
      <c r="F105" s="586">
        <v>5</v>
      </c>
      <c r="G105" s="109">
        <v>2</v>
      </c>
      <c r="H105" s="109">
        <v>2</v>
      </c>
      <c r="I105" s="109">
        <v>2</v>
      </c>
      <c r="J105" s="376">
        <v>416925.02</v>
      </c>
      <c r="K105" s="98">
        <f>157189.95+15452.52*4</f>
        <v>219000.03000000003</v>
      </c>
      <c r="L105" s="107">
        <v>72362.48</v>
      </c>
      <c r="M105" s="98">
        <f t="shared" ref="M105" si="109">J105+K105+L105</f>
        <v>708287.53</v>
      </c>
      <c r="N105" s="98">
        <f>G105*J105</f>
        <v>833850.04</v>
      </c>
      <c r="O105" s="98">
        <f>G105*K105+159699.9</f>
        <v>597699.96000000008</v>
      </c>
      <c r="P105" s="110"/>
      <c r="Q105" s="99">
        <f t="shared" ref="Q105" si="110">G105*L105</f>
        <v>144724.96</v>
      </c>
      <c r="R105" s="99"/>
      <c r="S105" s="99"/>
      <c r="T105" s="98">
        <f t="shared" ref="T105" si="111">SUM(N105:Q105)</f>
        <v>1576274.96</v>
      </c>
      <c r="U105" s="98">
        <f t="shared" ref="U105" si="112">T105</f>
        <v>1576274.96</v>
      </c>
      <c r="V105" s="98">
        <f t="shared" ref="V105" si="113">U105</f>
        <v>1576274.96</v>
      </c>
    </row>
    <row r="106" spans="1:29" ht="25.2" customHeight="1" x14ac:dyDescent="0.25">
      <c r="A106" s="374" t="s">
        <v>349</v>
      </c>
      <c r="B106" s="97" t="s">
        <v>460</v>
      </c>
      <c r="C106" s="882"/>
      <c r="D106" s="636" t="s">
        <v>130</v>
      </c>
      <c r="E106" s="104">
        <v>1</v>
      </c>
      <c r="F106" s="586">
        <v>0</v>
      </c>
      <c r="G106" s="109">
        <v>2</v>
      </c>
      <c r="H106" s="109">
        <v>2</v>
      </c>
      <c r="I106" s="109">
        <v>2</v>
      </c>
      <c r="J106" s="99">
        <v>261056.4</v>
      </c>
      <c r="K106" s="98">
        <f>116987.52+15452.52*2.5</f>
        <v>155618.82</v>
      </c>
      <c r="L106" s="107">
        <v>72362.48</v>
      </c>
      <c r="M106" s="98">
        <f t="shared" si="96"/>
        <v>489037.69999999995</v>
      </c>
      <c r="N106" s="98">
        <f>G106*J106</f>
        <v>522112.8</v>
      </c>
      <c r="O106" s="98">
        <f t="shared" si="102"/>
        <v>311237.64</v>
      </c>
      <c r="P106" s="98"/>
      <c r="Q106" s="99">
        <f t="shared" si="99"/>
        <v>144724.96</v>
      </c>
      <c r="R106" s="99"/>
      <c r="S106" s="99"/>
      <c r="T106" s="98">
        <f t="shared" si="103"/>
        <v>978075.39999999991</v>
      </c>
      <c r="U106" s="98">
        <f t="shared" si="100"/>
        <v>978075.39999999991</v>
      </c>
      <c r="V106" s="98">
        <f t="shared" si="100"/>
        <v>978075.39999999991</v>
      </c>
    </row>
    <row r="107" spans="1:29" ht="25.95" customHeight="1" x14ac:dyDescent="0.25">
      <c r="A107" s="374" t="s">
        <v>349</v>
      </c>
      <c r="B107" s="97" t="s">
        <v>347</v>
      </c>
      <c r="C107" s="882"/>
      <c r="D107" s="636" t="s">
        <v>130</v>
      </c>
      <c r="E107" s="104">
        <v>5</v>
      </c>
      <c r="F107" s="586">
        <f>5</f>
        <v>5</v>
      </c>
      <c r="G107" s="109">
        <f>5-2</f>
        <v>3</v>
      </c>
      <c r="H107" s="109">
        <f>5-2</f>
        <v>3</v>
      </c>
      <c r="I107" s="109">
        <f>5-2</f>
        <v>3</v>
      </c>
      <c r="J107" s="376">
        <v>261056.4</v>
      </c>
      <c r="K107" s="98">
        <f>87770.64+15452.52*2.5</f>
        <v>126401.94</v>
      </c>
      <c r="L107" s="107">
        <v>72362.48</v>
      </c>
      <c r="M107" s="98">
        <f t="shared" si="96"/>
        <v>459820.81999999995</v>
      </c>
      <c r="N107" s="98">
        <f>G107*J107</f>
        <v>783169.2</v>
      </c>
      <c r="O107" s="98">
        <f>G107*K107+652348.14+494758.22-159699.9-1032760.04</f>
        <v>333852.24</v>
      </c>
      <c r="P107" s="98"/>
      <c r="Q107" s="99">
        <f t="shared" si="99"/>
        <v>217087.44</v>
      </c>
      <c r="R107" s="99"/>
      <c r="S107" s="99"/>
      <c r="T107" s="98">
        <f t="shared" si="103"/>
        <v>1334108.8799999999</v>
      </c>
      <c r="U107" s="98">
        <f t="shared" si="100"/>
        <v>1334108.8799999999</v>
      </c>
      <c r="V107" s="98">
        <f t="shared" si="100"/>
        <v>1334108.8799999999</v>
      </c>
    </row>
    <row r="108" spans="1:29" ht="25.2" customHeight="1" x14ac:dyDescent="0.25">
      <c r="A108" s="374" t="s">
        <v>349</v>
      </c>
      <c r="B108" s="97" t="s">
        <v>362</v>
      </c>
      <c r="C108" s="882"/>
      <c r="D108" s="636" t="s">
        <v>130</v>
      </c>
      <c r="E108" s="104">
        <v>2</v>
      </c>
      <c r="F108" s="586">
        <v>0</v>
      </c>
      <c r="G108" s="109">
        <v>0</v>
      </c>
      <c r="H108" s="109">
        <v>0</v>
      </c>
      <c r="I108" s="109">
        <v>0</v>
      </c>
      <c r="J108" s="99">
        <v>209100.19</v>
      </c>
      <c r="K108" s="98">
        <f>70240.51+15452.52*2</f>
        <v>101145.54999999999</v>
      </c>
      <c r="L108" s="107">
        <v>72362.48</v>
      </c>
      <c r="M108" s="98">
        <f t="shared" si="96"/>
        <v>382608.22</v>
      </c>
      <c r="N108" s="98">
        <f t="shared" ref="N108:N117" si="114">G108*J108</f>
        <v>0</v>
      </c>
      <c r="O108" s="98">
        <f t="shared" si="102"/>
        <v>0</v>
      </c>
      <c r="P108" s="98"/>
      <c r="Q108" s="99">
        <f t="shared" si="99"/>
        <v>0</v>
      </c>
      <c r="R108" s="99"/>
      <c r="S108" s="99"/>
      <c r="T108" s="98">
        <f t="shared" si="103"/>
        <v>0</v>
      </c>
      <c r="U108" s="98">
        <f t="shared" si="100"/>
        <v>0</v>
      </c>
      <c r="V108" s="98">
        <f t="shared" si="100"/>
        <v>0</v>
      </c>
    </row>
    <row r="109" spans="1:29" ht="25.2" customHeight="1" x14ac:dyDescent="0.25">
      <c r="A109" s="374" t="s">
        <v>349</v>
      </c>
      <c r="B109" s="97" t="s">
        <v>539</v>
      </c>
      <c r="C109" s="882"/>
      <c r="D109" s="636" t="s">
        <v>130</v>
      </c>
      <c r="E109" s="104">
        <v>0</v>
      </c>
      <c r="F109" s="586">
        <f>8-7</f>
        <v>1</v>
      </c>
      <c r="G109" s="109">
        <v>0</v>
      </c>
      <c r="H109" s="109">
        <v>0</v>
      </c>
      <c r="I109" s="109">
        <v>0</v>
      </c>
      <c r="J109" s="376">
        <v>416925.02</v>
      </c>
      <c r="K109" s="98">
        <f>157189.95+15452.52*4+280482.05</f>
        <v>499482.08</v>
      </c>
      <c r="L109" s="107">
        <v>72362.48</v>
      </c>
      <c r="M109" s="98">
        <f t="shared" ref="M109" si="115">J109+K109+L109</f>
        <v>988769.58000000007</v>
      </c>
      <c r="N109" s="98">
        <f>G109*J109</f>
        <v>0</v>
      </c>
      <c r="O109" s="98">
        <f>G109*K109+1478920.73</f>
        <v>1478920.73</v>
      </c>
      <c r="P109" s="98"/>
      <c r="Q109" s="99">
        <f t="shared" ref="Q109" si="116">G109*L109</f>
        <v>0</v>
      </c>
      <c r="R109" s="99"/>
      <c r="S109" s="99"/>
      <c r="T109" s="98">
        <f t="shared" ref="T109" si="117">SUM(N109:Q109)</f>
        <v>1478920.73</v>
      </c>
      <c r="U109" s="98">
        <f t="shared" ref="U109" si="118">T109</f>
        <v>1478920.73</v>
      </c>
      <c r="V109" s="98">
        <f t="shared" ref="V109" si="119">U109</f>
        <v>1478920.73</v>
      </c>
    </row>
    <row r="110" spans="1:29" ht="22.95" customHeight="1" x14ac:dyDescent="0.25">
      <c r="A110" s="374" t="s">
        <v>349</v>
      </c>
      <c r="B110" s="97" t="s">
        <v>334</v>
      </c>
      <c r="C110" s="882"/>
      <c r="D110" s="636" t="s">
        <v>130</v>
      </c>
      <c r="E110" s="104">
        <v>1</v>
      </c>
      <c r="F110" s="586">
        <v>0</v>
      </c>
      <c r="G110" s="109">
        <v>0</v>
      </c>
      <c r="H110" s="109">
        <v>0</v>
      </c>
      <c r="I110" s="109">
        <v>0</v>
      </c>
      <c r="J110" s="99">
        <v>338385.36</v>
      </c>
      <c r="K110" s="98">
        <f>84708.34+14682.07*2.5+203012.01</f>
        <v>324425.52500000002</v>
      </c>
      <c r="L110" s="107">
        <v>72362.48</v>
      </c>
      <c r="M110" s="98">
        <f t="shared" si="96"/>
        <v>735173.36499999999</v>
      </c>
      <c r="N110" s="98">
        <f t="shared" si="114"/>
        <v>0</v>
      </c>
      <c r="O110" s="98">
        <f t="shared" si="102"/>
        <v>0</v>
      </c>
      <c r="P110" s="98"/>
      <c r="Q110" s="99">
        <f t="shared" si="99"/>
        <v>0</v>
      </c>
      <c r="R110" s="99"/>
      <c r="S110" s="99"/>
      <c r="T110" s="98">
        <f t="shared" si="103"/>
        <v>0</v>
      </c>
      <c r="U110" s="98">
        <f t="shared" si="100"/>
        <v>0</v>
      </c>
      <c r="V110" s="98">
        <f t="shared" si="100"/>
        <v>0</v>
      </c>
    </row>
    <row r="111" spans="1:29" ht="25.2" customHeight="1" x14ac:dyDescent="0.25">
      <c r="A111" s="97"/>
      <c r="B111" s="92" t="s">
        <v>461</v>
      </c>
      <c r="C111" s="882"/>
      <c r="D111" s="636" t="s">
        <v>130</v>
      </c>
      <c r="E111" s="104">
        <v>4</v>
      </c>
      <c r="F111" s="586">
        <v>0</v>
      </c>
      <c r="G111" s="684">
        <v>0</v>
      </c>
      <c r="H111" s="684">
        <v>0</v>
      </c>
      <c r="I111" s="684">
        <v>0</v>
      </c>
      <c r="J111" s="99">
        <v>209100.19</v>
      </c>
      <c r="K111" s="98">
        <f>70240.51+15452.52*2</f>
        <v>101145.54999999999</v>
      </c>
      <c r="L111" s="107">
        <v>72362.48</v>
      </c>
      <c r="M111" s="98">
        <f t="shared" si="96"/>
        <v>382608.22</v>
      </c>
      <c r="N111" s="98">
        <f t="shared" si="114"/>
        <v>0</v>
      </c>
      <c r="O111" s="98">
        <f>G111*K111</f>
        <v>0</v>
      </c>
      <c r="P111" s="98"/>
      <c r="Q111" s="99">
        <f t="shared" si="99"/>
        <v>0</v>
      </c>
      <c r="R111" s="99"/>
      <c r="S111" s="99"/>
      <c r="T111" s="98">
        <f t="shared" si="103"/>
        <v>0</v>
      </c>
      <c r="U111" s="98">
        <f t="shared" si="100"/>
        <v>0</v>
      </c>
      <c r="V111" s="98">
        <f t="shared" si="100"/>
        <v>0</v>
      </c>
    </row>
    <row r="112" spans="1:29" ht="18" customHeight="1" x14ac:dyDescent="0.25">
      <c r="A112" s="97"/>
      <c r="B112" s="92" t="s">
        <v>482</v>
      </c>
      <c r="C112" s="883"/>
      <c r="D112" s="636" t="s">
        <v>130</v>
      </c>
      <c r="E112" s="104">
        <v>12</v>
      </c>
      <c r="F112" s="586">
        <v>0</v>
      </c>
      <c r="G112" s="684">
        <v>0</v>
      </c>
      <c r="H112" s="684">
        <v>0</v>
      </c>
      <c r="I112" s="684">
        <v>0</v>
      </c>
      <c r="J112" s="99">
        <v>338385.36</v>
      </c>
      <c r="K112" s="98">
        <f>70240.51+15452.52*2</f>
        <v>101145.54999999999</v>
      </c>
      <c r="L112" s="107">
        <v>72362.48</v>
      </c>
      <c r="M112" s="98">
        <f t="shared" si="96"/>
        <v>511893.38999999996</v>
      </c>
      <c r="N112" s="98">
        <f>G112*J112</f>
        <v>0</v>
      </c>
      <c r="O112" s="98">
        <f>G112*K112</f>
        <v>0</v>
      </c>
      <c r="P112" s="98"/>
      <c r="Q112" s="99">
        <f t="shared" si="99"/>
        <v>0</v>
      </c>
      <c r="R112" s="99"/>
      <c r="S112" s="99"/>
      <c r="T112" s="98">
        <f t="shared" si="103"/>
        <v>0</v>
      </c>
      <c r="U112" s="98">
        <f t="shared" si="100"/>
        <v>0</v>
      </c>
      <c r="V112" s="98">
        <f t="shared" si="100"/>
        <v>0</v>
      </c>
    </row>
    <row r="113" spans="1:32" ht="33.6" customHeight="1" x14ac:dyDescent="0.25">
      <c r="A113" s="97"/>
      <c r="B113" s="97" t="s">
        <v>344</v>
      </c>
      <c r="C113" s="868" t="s">
        <v>462</v>
      </c>
      <c r="D113" s="636" t="s">
        <v>130</v>
      </c>
      <c r="E113" s="104">
        <v>17</v>
      </c>
      <c r="F113" s="586">
        <v>17</v>
      </c>
      <c r="G113" s="684">
        <v>17</v>
      </c>
      <c r="H113" s="684">
        <v>17</v>
      </c>
      <c r="I113" s="684">
        <v>17</v>
      </c>
      <c r="J113" s="108">
        <v>95705.64</v>
      </c>
      <c r="K113" s="98">
        <f>35180.26+15452.52</f>
        <v>50632.78</v>
      </c>
      <c r="L113" s="107">
        <v>72362.48</v>
      </c>
      <c r="M113" s="98">
        <f t="shared" si="96"/>
        <v>218700.89999999997</v>
      </c>
      <c r="N113" s="98">
        <f t="shared" si="114"/>
        <v>1626995.88</v>
      </c>
      <c r="O113" s="98">
        <f t="shared" si="102"/>
        <v>860757.26</v>
      </c>
      <c r="P113" s="98"/>
      <c r="Q113" s="99">
        <f t="shared" si="99"/>
        <v>1230162.1599999999</v>
      </c>
      <c r="R113" s="99"/>
      <c r="S113" s="99"/>
      <c r="T113" s="98">
        <f t="shared" si="103"/>
        <v>3717915.3</v>
      </c>
      <c r="U113" s="98">
        <f t="shared" si="100"/>
        <v>3717915.3</v>
      </c>
      <c r="V113" s="98">
        <f t="shared" si="100"/>
        <v>3717915.3</v>
      </c>
    </row>
    <row r="114" spans="1:32" ht="36" customHeight="1" x14ac:dyDescent="0.25">
      <c r="A114" s="97"/>
      <c r="B114" s="97" t="s">
        <v>344</v>
      </c>
      <c r="C114" s="869"/>
      <c r="D114" s="636" t="s">
        <v>130</v>
      </c>
      <c r="E114" s="104">
        <v>2</v>
      </c>
      <c r="F114" s="586">
        <v>2</v>
      </c>
      <c r="G114" s="684">
        <f t="shared" ref="G114" si="120">((E114*8)+(F114*4))/12</f>
        <v>2</v>
      </c>
      <c r="H114" s="684">
        <v>2</v>
      </c>
      <c r="I114" s="684">
        <v>2</v>
      </c>
      <c r="J114" s="108">
        <v>95705.64</v>
      </c>
      <c r="K114" s="98">
        <f>35180.26+15452.52</f>
        <v>50632.78</v>
      </c>
      <c r="L114" s="107">
        <v>72362.48</v>
      </c>
      <c r="M114" s="98">
        <f t="shared" ref="M114" si="121">J114+K114+L114</f>
        <v>218700.89999999997</v>
      </c>
      <c r="N114" s="98">
        <f t="shared" ref="N114" si="122">G114*J114</f>
        <v>191411.28</v>
      </c>
      <c r="O114" s="98">
        <f t="shared" ref="O114" si="123">G114*K114</f>
        <v>101265.56</v>
      </c>
      <c r="P114" s="98"/>
      <c r="Q114" s="99">
        <f t="shared" ref="Q114" si="124">G114*L114</f>
        <v>144724.96</v>
      </c>
      <c r="R114" s="99"/>
      <c r="S114" s="99"/>
      <c r="T114" s="98">
        <f t="shared" ref="T114" si="125">SUM(N114:Q114)</f>
        <v>437401.79999999993</v>
      </c>
      <c r="U114" s="98">
        <f t="shared" ref="U114" si="126">T114</f>
        <v>437401.79999999993</v>
      </c>
      <c r="V114" s="98">
        <f t="shared" ref="V114" si="127">U114</f>
        <v>437401.79999999993</v>
      </c>
    </row>
    <row r="115" spans="1:32" ht="34.200000000000003" customHeight="1" x14ac:dyDescent="0.25">
      <c r="A115" s="97"/>
      <c r="B115" s="97" t="s">
        <v>338</v>
      </c>
      <c r="C115" s="869"/>
      <c r="D115" s="636" t="s">
        <v>130</v>
      </c>
      <c r="E115" s="104">
        <v>28</v>
      </c>
      <c r="F115" s="586">
        <v>41</v>
      </c>
      <c r="G115" s="684">
        <v>41</v>
      </c>
      <c r="H115" s="684">
        <v>41</v>
      </c>
      <c r="I115" s="684">
        <v>41</v>
      </c>
      <c r="J115" s="108">
        <v>95705.64</v>
      </c>
      <c r="K115" s="98">
        <f>35180.26+15452.52</f>
        <v>50632.78</v>
      </c>
      <c r="L115" s="107">
        <v>72362.48</v>
      </c>
      <c r="M115" s="98">
        <f t="shared" si="96"/>
        <v>218700.89999999997</v>
      </c>
      <c r="N115" s="98">
        <f t="shared" si="114"/>
        <v>3923931.2399999998</v>
      </c>
      <c r="O115" s="98">
        <f t="shared" si="102"/>
        <v>2075943.98</v>
      </c>
      <c r="P115" s="98"/>
      <c r="Q115" s="99">
        <f t="shared" si="99"/>
        <v>2966861.6799999997</v>
      </c>
      <c r="R115" s="99"/>
      <c r="S115" s="99"/>
      <c r="T115" s="98">
        <f t="shared" si="103"/>
        <v>8966736.8999999985</v>
      </c>
      <c r="U115" s="98">
        <f t="shared" si="100"/>
        <v>8966736.8999999985</v>
      </c>
      <c r="V115" s="98">
        <f t="shared" si="100"/>
        <v>8966736.8999999985</v>
      </c>
    </row>
    <row r="116" spans="1:32" ht="30" customHeight="1" x14ac:dyDescent="0.25">
      <c r="A116" s="97"/>
      <c r="B116" s="97" t="s">
        <v>129</v>
      </c>
      <c r="C116" s="877"/>
      <c r="D116" s="636" t="s">
        <v>130</v>
      </c>
      <c r="E116" s="104">
        <v>17</v>
      </c>
      <c r="F116" s="586">
        <f>14</f>
        <v>14</v>
      </c>
      <c r="G116" s="684">
        <v>14</v>
      </c>
      <c r="H116" s="684">
        <v>14</v>
      </c>
      <c r="I116" s="684">
        <v>14</v>
      </c>
      <c r="J116" s="108">
        <v>127527.31</v>
      </c>
      <c r="K116" s="98">
        <f>46867.01+15452.52*1.5</f>
        <v>70045.790000000008</v>
      </c>
      <c r="L116" s="107">
        <v>72362.48</v>
      </c>
      <c r="M116" s="98">
        <f t="shared" si="96"/>
        <v>269935.58</v>
      </c>
      <c r="N116" s="98">
        <f t="shared" si="114"/>
        <v>1785382.3399999999</v>
      </c>
      <c r="O116" s="98">
        <f t="shared" si="102"/>
        <v>980641.06</v>
      </c>
      <c r="P116" s="98"/>
      <c r="Q116" s="99">
        <f t="shared" si="99"/>
        <v>1013074.72</v>
      </c>
      <c r="R116" s="99"/>
      <c r="S116" s="99"/>
      <c r="T116" s="98">
        <f t="shared" si="103"/>
        <v>3779098.12</v>
      </c>
      <c r="U116" s="98">
        <f t="shared" si="100"/>
        <v>3779098.12</v>
      </c>
      <c r="V116" s="98">
        <f t="shared" si="100"/>
        <v>3779098.12</v>
      </c>
    </row>
    <row r="117" spans="1:32" s="378" customFormat="1" ht="41.4" customHeight="1" x14ac:dyDescent="0.25">
      <c r="A117" s="374"/>
      <c r="B117" s="374" t="s">
        <v>129</v>
      </c>
      <c r="C117" s="884" t="s">
        <v>463</v>
      </c>
      <c r="D117" s="374" t="s">
        <v>130</v>
      </c>
      <c r="E117" s="375">
        <v>0</v>
      </c>
      <c r="F117" s="375">
        <v>0</v>
      </c>
      <c r="G117" s="647">
        <f t="shared" ref="G117:G118" si="128">((E117*8)+(F117*4))/12</f>
        <v>0</v>
      </c>
      <c r="H117" s="375">
        <v>0</v>
      </c>
      <c r="I117" s="375">
        <v>0</v>
      </c>
      <c r="J117" s="377">
        <v>3090.14</v>
      </c>
      <c r="K117" s="376">
        <v>0</v>
      </c>
      <c r="L117" s="376">
        <v>0</v>
      </c>
      <c r="M117" s="376">
        <f>J117+K117+L117</f>
        <v>3090.14</v>
      </c>
      <c r="N117" s="376">
        <f t="shared" si="114"/>
        <v>0</v>
      </c>
      <c r="O117" s="376">
        <f>G117*K117</f>
        <v>0</v>
      </c>
      <c r="P117" s="376"/>
      <c r="Q117" s="376">
        <f>G117*L117</f>
        <v>0</v>
      </c>
      <c r="R117" s="376"/>
      <c r="S117" s="376"/>
      <c r="T117" s="376">
        <f t="shared" ref="T117" si="129">SUM(N117:Q117)</f>
        <v>0</v>
      </c>
      <c r="U117" s="376">
        <f t="shared" si="100"/>
        <v>0</v>
      </c>
      <c r="V117" s="376">
        <f t="shared" si="100"/>
        <v>0</v>
      </c>
      <c r="AD117" s="83"/>
      <c r="AE117" s="83"/>
      <c r="AF117" s="83"/>
    </row>
    <row r="118" spans="1:32" s="378" customFormat="1" ht="33.6" customHeight="1" x14ac:dyDescent="0.25">
      <c r="A118" s="374"/>
      <c r="B118" s="374" t="s">
        <v>131</v>
      </c>
      <c r="C118" s="885"/>
      <c r="D118" s="374" t="s">
        <v>130</v>
      </c>
      <c r="E118" s="375">
        <v>0</v>
      </c>
      <c r="F118" s="375">
        <v>0</v>
      </c>
      <c r="G118" s="647">
        <f t="shared" si="128"/>
        <v>0</v>
      </c>
      <c r="H118" s="375">
        <v>0</v>
      </c>
      <c r="I118" s="375">
        <v>0</v>
      </c>
      <c r="J118" s="377">
        <v>3090.14</v>
      </c>
      <c r="K118" s="376">
        <v>0</v>
      </c>
      <c r="L118" s="376">
        <v>0</v>
      </c>
      <c r="M118" s="376">
        <f t="shared" ref="M118:M127" si="130">J118+K118+L118</f>
        <v>3090.14</v>
      </c>
      <c r="N118" s="376">
        <f t="shared" si="101"/>
        <v>0</v>
      </c>
      <c r="O118" s="376">
        <f t="shared" ref="O118:O128" si="131">G118*K118</f>
        <v>0</v>
      </c>
      <c r="P118" s="376"/>
      <c r="Q118" s="376">
        <f t="shared" si="99"/>
        <v>0</v>
      </c>
      <c r="R118" s="376"/>
      <c r="S118" s="376"/>
      <c r="T118" s="376">
        <f t="shared" ref="T118:T123" si="132">SUM(N118:Q118)</f>
        <v>0</v>
      </c>
      <c r="U118" s="376">
        <f t="shared" si="100"/>
        <v>0</v>
      </c>
      <c r="V118" s="376">
        <f t="shared" si="100"/>
        <v>0</v>
      </c>
      <c r="AD118" s="83"/>
      <c r="AE118" s="83"/>
      <c r="AF118" s="83"/>
    </row>
    <row r="119" spans="1:32" s="378" customFormat="1" ht="28.2" customHeight="1" x14ac:dyDescent="0.25">
      <c r="A119" s="374"/>
      <c r="B119" s="374" t="s">
        <v>340</v>
      </c>
      <c r="C119" s="884" t="s">
        <v>464</v>
      </c>
      <c r="D119" s="374" t="s">
        <v>130</v>
      </c>
      <c r="E119" s="375">
        <v>26</v>
      </c>
      <c r="F119" s="375">
        <v>14</v>
      </c>
      <c r="G119" s="772">
        <v>14</v>
      </c>
      <c r="H119" s="685">
        <v>14</v>
      </c>
      <c r="I119" s="685">
        <v>14</v>
      </c>
      <c r="J119" s="377">
        <v>5558.83</v>
      </c>
      <c r="K119" s="376">
        <v>0</v>
      </c>
      <c r="L119" s="376">
        <v>0</v>
      </c>
      <c r="M119" s="376">
        <f t="shared" si="130"/>
        <v>5558.83</v>
      </c>
      <c r="N119" s="376">
        <f t="shared" ref="N119:N124" si="133">G119*J119</f>
        <v>77823.62</v>
      </c>
      <c r="O119" s="376">
        <f t="shared" si="131"/>
        <v>0</v>
      </c>
      <c r="P119" s="376"/>
      <c r="Q119" s="376">
        <f t="shared" si="99"/>
        <v>0</v>
      </c>
      <c r="R119" s="376"/>
      <c r="S119" s="376"/>
      <c r="T119" s="376">
        <f t="shared" si="132"/>
        <v>77823.62</v>
      </c>
      <c r="U119" s="376">
        <f t="shared" si="100"/>
        <v>77823.62</v>
      </c>
      <c r="V119" s="376">
        <f t="shared" si="100"/>
        <v>77823.62</v>
      </c>
      <c r="AD119" s="83"/>
      <c r="AE119" s="83"/>
      <c r="AF119" s="83"/>
    </row>
    <row r="120" spans="1:32" s="378" customFormat="1" ht="43.2" customHeight="1" x14ac:dyDescent="0.25">
      <c r="A120" s="374"/>
      <c r="B120" s="755" t="s">
        <v>483</v>
      </c>
      <c r="C120" s="886"/>
      <c r="D120" s="374" t="s">
        <v>130</v>
      </c>
      <c r="E120" s="375">
        <v>13</v>
      </c>
      <c r="F120" s="375">
        <v>0</v>
      </c>
      <c r="G120" s="772">
        <v>0</v>
      </c>
      <c r="H120" s="685">
        <v>0</v>
      </c>
      <c r="I120" s="685">
        <v>0</v>
      </c>
      <c r="J120" s="377">
        <v>9264.74</v>
      </c>
      <c r="K120" s="376">
        <v>0</v>
      </c>
      <c r="L120" s="376">
        <v>0</v>
      </c>
      <c r="M120" s="376">
        <f t="shared" si="130"/>
        <v>9264.74</v>
      </c>
      <c r="N120" s="376">
        <f t="shared" si="133"/>
        <v>0</v>
      </c>
      <c r="O120" s="376">
        <f t="shared" si="131"/>
        <v>0</v>
      </c>
      <c r="P120" s="376"/>
      <c r="Q120" s="376">
        <f t="shared" si="99"/>
        <v>0</v>
      </c>
      <c r="R120" s="376"/>
      <c r="S120" s="376"/>
      <c r="T120" s="376">
        <f t="shared" si="132"/>
        <v>0</v>
      </c>
      <c r="U120" s="376">
        <f t="shared" si="100"/>
        <v>0</v>
      </c>
      <c r="V120" s="376">
        <f t="shared" si="100"/>
        <v>0</v>
      </c>
      <c r="AD120" s="83"/>
      <c r="AE120" s="83"/>
      <c r="AF120" s="83"/>
    </row>
    <row r="121" spans="1:32" s="378" customFormat="1" ht="47.4" customHeight="1" x14ac:dyDescent="0.25">
      <c r="A121" s="374"/>
      <c r="B121" s="755" t="s">
        <v>465</v>
      </c>
      <c r="C121" s="886"/>
      <c r="D121" s="374" t="s">
        <v>130</v>
      </c>
      <c r="E121" s="375">
        <v>6</v>
      </c>
      <c r="F121" s="375">
        <v>0</v>
      </c>
      <c r="G121" s="772">
        <v>0</v>
      </c>
      <c r="H121" s="685">
        <v>0</v>
      </c>
      <c r="I121" s="685">
        <v>0</v>
      </c>
      <c r="J121" s="377">
        <v>9264.74</v>
      </c>
      <c r="K121" s="376">
        <v>0</v>
      </c>
      <c r="L121" s="376">
        <v>0</v>
      </c>
      <c r="M121" s="376">
        <f t="shared" si="130"/>
        <v>9264.74</v>
      </c>
      <c r="N121" s="376">
        <f t="shared" si="133"/>
        <v>0</v>
      </c>
      <c r="O121" s="376">
        <f t="shared" si="131"/>
        <v>0</v>
      </c>
      <c r="P121" s="376"/>
      <c r="Q121" s="376">
        <f t="shared" si="99"/>
        <v>0</v>
      </c>
      <c r="R121" s="376"/>
      <c r="S121" s="376"/>
      <c r="T121" s="376">
        <f t="shared" si="132"/>
        <v>0</v>
      </c>
      <c r="U121" s="376">
        <f t="shared" si="100"/>
        <v>0</v>
      </c>
      <c r="V121" s="376">
        <f t="shared" si="100"/>
        <v>0</v>
      </c>
      <c r="AD121" s="83"/>
      <c r="AE121" s="83"/>
      <c r="AF121" s="83"/>
    </row>
    <row r="122" spans="1:32" s="378" customFormat="1" ht="47.4" customHeight="1" x14ac:dyDescent="0.25">
      <c r="A122" s="374"/>
      <c r="B122" s="755" t="s">
        <v>551</v>
      </c>
      <c r="C122" s="886"/>
      <c r="D122" s="374" t="s">
        <v>130</v>
      </c>
      <c r="E122" s="375">
        <v>0</v>
      </c>
      <c r="F122" s="375">
        <v>5</v>
      </c>
      <c r="G122" s="772">
        <v>5</v>
      </c>
      <c r="H122" s="685">
        <v>5</v>
      </c>
      <c r="I122" s="685">
        <v>5</v>
      </c>
      <c r="J122" s="377">
        <v>6948.54</v>
      </c>
      <c r="K122" s="376">
        <v>0</v>
      </c>
      <c r="L122" s="376">
        <v>0</v>
      </c>
      <c r="M122" s="376">
        <f t="shared" si="130"/>
        <v>6948.54</v>
      </c>
      <c r="N122" s="376">
        <f t="shared" si="133"/>
        <v>34742.699999999997</v>
      </c>
      <c r="O122" s="376">
        <f t="shared" si="131"/>
        <v>0</v>
      </c>
      <c r="P122" s="376"/>
      <c r="Q122" s="376">
        <f t="shared" si="99"/>
        <v>0</v>
      </c>
      <c r="R122" s="376"/>
      <c r="S122" s="376"/>
      <c r="T122" s="376">
        <f t="shared" si="132"/>
        <v>34742.699999999997</v>
      </c>
      <c r="U122" s="376">
        <f t="shared" si="100"/>
        <v>34742.699999999997</v>
      </c>
      <c r="V122" s="376">
        <f t="shared" si="100"/>
        <v>34742.699999999997</v>
      </c>
      <c r="AD122" s="83"/>
      <c r="AE122" s="83"/>
      <c r="AF122" s="83"/>
    </row>
    <row r="123" spans="1:32" s="378" customFormat="1" ht="47.4" customHeight="1" x14ac:dyDescent="0.25">
      <c r="A123" s="374"/>
      <c r="B123" s="379" t="s">
        <v>552</v>
      </c>
      <c r="C123" s="886"/>
      <c r="D123" s="374" t="s">
        <v>130</v>
      </c>
      <c r="E123" s="375">
        <v>0</v>
      </c>
      <c r="F123" s="375">
        <v>8</v>
      </c>
      <c r="G123" s="772">
        <v>8</v>
      </c>
      <c r="H123" s="685">
        <v>8</v>
      </c>
      <c r="I123" s="685">
        <v>8</v>
      </c>
      <c r="J123" s="377">
        <v>11117.68</v>
      </c>
      <c r="K123" s="376">
        <v>0</v>
      </c>
      <c r="L123" s="376">
        <v>0</v>
      </c>
      <c r="M123" s="376">
        <f t="shared" si="130"/>
        <v>11117.68</v>
      </c>
      <c r="N123" s="376">
        <f t="shared" si="133"/>
        <v>88941.440000000002</v>
      </c>
      <c r="O123" s="376">
        <f t="shared" si="131"/>
        <v>0</v>
      </c>
      <c r="P123" s="376"/>
      <c r="Q123" s="376">
        <f t="shared" si="99"/>
        <v>0</v>
      </c>
      <c r="R123" s="376"/>
      <c r="S123" s="376"/>
      <c r="T123" s="376">
        <f t="shared" si="132"/>
        <v>88941.440000000002</v>
      </c>
      <c r="U123" s="376">
        <f t="shared" si="100"/>
        <v>88941.440000000002</v>
      </c>
      <c r="V123" s="376">
        <f t="shared" si="100"/>
        <v>88941.440000000002</v>
      </c>
      <c r="AD123" s="83"/>
      <c r="AE123" s="83"/>
      <c r="AF123" s="83"/>
    </row>
    <row r="124" spans="1:32" s="378" customFormat="1" ht="28.95" customHeight="1" x14ac:dyDescent="0.25">
      <c r="A124" s="374"/>
      <c r="B124" s="379" t="s">
        <v>362</v>
      </c>
      <c r="C124" s="885"/>
      <c r="D124" s="374" t="s">
        <v>130</v>
      </c>
      <c r="E124" s="375">
        <v>6</v>
      </c>
      <c r="F124" s="375">
        <v>0</v>
      </c>
      <c r="G124" s="772">
        <v>0</v>
      </c>
      <c r="H124" s="685">
        <v>0</v>
      </c>
      <c r="I124" s="685">
        <v>0</v>
      </c>
      <c r="J124" s="377">
        <v>5558.83</v>
      </c>
      <c r="K124" s="376">
        <v>0</v>
      </c>
      <c r="L124" s="376">
        <v>0</v>
      </c>
      <c r="M124" s="376">
        <f t="shared" si="130"/>
        <v>5558.83</v>
      </c>
      <c r="N124" s="376">
        <f t="shared" si="133"/>
        <v>0</v>
      </c>
      <c r="O124" s="376">
        <f t="shared" si="131"/>
        <v>0</v>
      </c>
      <c r="P124" s="376"/>
      <c r="Q124" s="376">
        <f t="shared" si="99"/>
        <v>0</v>
      </c>
      <c r="R124" s="376"/>
      <c r="S124" s="376"/>
      <c r="T124" s="376">
        <f t="shared" si="103"/>
        <v>0</v>
      </c>
      <c r="U124" s="376">
        <f t="shared" si="100"/>
        <v>0</v>
      </c>
      <c r="V124" s="376">
        <f t="shared" si="100"/>
        <v>0</v>
      </c>
      <c r="AD124" s="83"/>
      <c r="AE124" s="83"/>
      <c r="AF124" s="83"/>
    </row>
    <row r="125" spans="1:32" s="378" customFormat="1" ht="28.95" customHeight="1" x14ac:dyDescent="0.25">
      <c r="A125" s="374"/>
      <c r="B125" s="374" t="s">
        <v>344</v>
      </c>
      <c r="C125" s="884" t="s">
        <v>466</v>
      </c>
      <c r="D125" s="374" t="s">
        <v>130</v>
      </c>
      <c r="E125" s="375">
        <v>17</v>
      </c>
      <c r="F125" s="375">
        <v>17</v>
      </c>
      <c r="G125" s="772">
        <v>17</v>
      </c>
      <c r="H125" s="685">
        <v>17</v>
      </c>
      <c r="I125" s="685">
        <v>17</v>
      </c>
      <c r="J125" s="376">
        <v>3090.14</v>
      </c>
      <c r="K125" s="376">
        <v>0</v>
      </c>
      <c r="L125" s="376">
        <v>0</v>
      </c>
      <c r="M125" s="376">
        <f t="shared" si="130"/>
        <v>3090.14</v>
      </c>
      <c r="N125" s="376">
        <f t="shared" si="101"/>
        <v>52532.38</v>
      </c>
      <c r="O125" s="376">
        <f t="shared" si="131"/>
        <v>0</v>
      </c>
      <c r="P125" s="376"/>
      <c r="Q125" s="376">
        <f t="shared" si="99"/>
        <v>0</v>
      </c>
      <c r="R125" s="376"/>
      <c r="S125" s="376"/>
      <c r="T125" s="376">
        <f t="shared" ref="T125" si="134">SUM(N125:Q125)</f>
        <v>52532.38</v>
      </c>
      <c r="U125" s="376">
        <f t="shared" si="100"/>
        <v>52532.38</v>
      </c>
      <c r="V125" s="376">
        <f t="shared" si="100"/>
        <v>52532.38</v>
      </c>
      <c r="AD125" s="83"/>
      <c r="AE125" s="83"/>
      <c r="AF125" s="83"/>
    </row>
    <row r="126" spans="1:32" s="378" customFormat="1" ht="24.6" customHeight="1" x14ac:dyDescent="0.25">
      <c r="A126" s="374"/>
      <c r="B126" s="374" t="s">
        <v>344</v>
      </c>
      <c r="C126" s="886"/>
      <c r="D126" s="374" t="s">
        <v>130</v>
      </c>
      <c r="E126" s="375">
        <v>2</v>
      </c>
      <c r="F126" s="375">
        <v>2</v>
      </c>
      <c r="G126" s="772">
        <v>2</v>
      </c>
      <c r="H126" s="685">
        <v>2</v>
      </c>
      <c r="I126" s="685">
        <v>2</v>
      </c>
      <c r="J126" s="376">
        <v>3090.14</v>
      </c>
      <c r="K126" s="376">
        <v>0</v>
      </c>
      <c r="L126" s="376">
        <v>0</v>
      </c>
      <c r="M126" s="376">
        <f t="shared" ref="M126" si="135">J126+K126+L126</f>
        <v>3090.14</v>
      </c>
      <c r="N126" s="376">
        <f t="shared" ref="N126" si="136">G126*J126</f>
        <v>6180.28</v>
      </c>
      <c r="O126" s="376">
        <f t="shared" ref="O126" si="137">G126*K126</f>
        <v>0</v>
      </c>
      <c r="P126" s="376"/>
      <c r="Q126" s="376">
        <f t="shared" ref="Q126" si="138">G126*L126</f>
        <v>0</v>
      </c>
      <c r="R126" s="376"/>
      <c r="S126" s="376"/>
      <c r="T126" s="376">
        <f t="shared" ref="T126" si="139">SUM(N126:Q126)</f>
        <v>6180.28</v>
      </c>
      <c r="U126" s="376">
        <f t="shared" ref="U126" si="140">T126</f>
        <v>6180.28</v>
      </c>
      <c r="V126" s="376">
        <f t="shared" ref="V126" si="141">U126</f>
        <v>6180.28</v>
      </c>
      <c r="AD126" s="83"/>
      <c r="AE126" s="83"/>
      <c r="AF126" s="83"/>
    </row>
    <row r="127" spans="1:32" s="378" customFormat="1" ht="25.2" customHeight="1" x14ac:dyDescent="0.25">
      <c r="A127" s="374"/>
      <c r="B127" s="374" t="s">
        <v>338</v>
      </c>
      <c r="C127" s="886"/>
      <c r="D127" s="374" t="s">
        <v>130</v>
      </c>
      <c r="E127" s="375">
        <v>28</v>
      </c>
      <c r="F127" s="375">
        <f>27+14</f>
        <v>41</v>
      </c>
      <c r="G127" s="772">
        <v>41</v>
      </c>
      <c r="H127" s="685">
        <v>28</v>
      </c>
      <c r="I127" s="685">
        <v>28</v>
      </c>
      <c r="J127" s="376">
        <v>3090.14</v>
      </c>
      <c r="K127" s="376">
        <v>0</v>
      </c>
      <c r="L127" s="376">
        <v>0</v>
      </c>
      <c r="M127" s="376">
        <f t="shared" si="130"/>
        <v>3090.14</v>
      </c>
      <c r="N127" s="376">
        <f>G127*J127</f>
        <v>126695.73999999999</v>
      </c>
      <c r="O127" s="376">
        <f t="shared" si="131"/>
        <v>0</v>
      </c>
      <c r="P127" s="376"/>
      <c r="Q127" s="376">
        <f t="shared" si="99"/>
        <v>0</v>
      </c>
      <c r="R127" s="376"/>
      <c r="S127" s="376"/>
      <c r="T127" s="376">
        <f t="shared" ref="T127" si="142">SUM(N127:Q127)</f>
        <v>126695.73999999999</v>
      </c>
      <c r="U127" s="376">
        <f t="shared" si="100"/>
        <v>126695.73999999999</v>
      </c>
      <c r="V127" s="376">
        <f t="shared" si="100"/>
        <v>126695.73999999999</v>
      </c>
      <c r="AD127" s="83"/>
      <c r="AE127" s="83"/>
      <c r="AF127" s="83"/>
    </row>
    <row r="128" spans="1:32" s="378" customFormat="1" ht="27.6" customHeight="1" x14ac:dyDescent="0.25">
      <c r="A128" s="379"/>
      <c r="B128" s="374" t="s">
        <v>467</v>
      </c>
      <c r="C128" s="885"/>
      <c r="D128" s="374" t="s">
        <v>130</v>
      </c>
      <c r="E128" s="375">
        <v>17</v>
      </c>
      <c r="F128" s="375">
        <v>14</v>
      </c>
      <c r="G128" s="772">
        <v>14</v>
      </c>
      <c r="H128" s="685">
        <v>14</v>
      </c>
      <c r="I128" s="685">
        <v>14</v>
      </c>
      <c r="J128" s="376">
        <v>4635.22</v>
      </c>
      <c r="K128" s="376">
        <v>0</v>
      </c>
      <c r="L128" s="376">
        <v>0</v>
      </c>
      <c r="M128" s="376">
        <f t="shared" si="96"/>
        <v>4635.22</v>
      </c>
      <c r="N128" s="376">
        <f>G128*J128</f>
        <v>64893.08</v>
      </c>
      <c r="O128" s="376">
        <f t="shared" si="131"/>
        <v>0</v>
      </c>
      <c r="P128" s="376"/>
      <c r="Q128" s="376">
        <f t="shared" si="99"/>
        <v>0</v>
      </c>
      <c r="R128" s="376"/>
      <c r="S128" s="376"/>
      <c r="T128" s="376">
        <f t="shared" si="103"/>
        <v>64893.08</v>
      </c>
      <c r="U128" s="376">
        <f t="shared" si="100"/>
        <v>64893.08</v>
      </c>
      <c r="V128" s="376">
        <f t="shared" si="100"/>
        <v>64893.08</v>
      </c>
      <c r="AD128" s="83"/>
      <c r="AE128" s="83"/>
      <c r="AF128" s="83"/>
    </row>
    <row r="129" spans="1:29" ht="62.4" customHeight="1" x14ac:dyDescent="0.25">
      <c r="A129" s="92" t="s">
        <v>133</v>
      </c>
      <c r="B129" s="97" t="s">
        <v>134</v>
      </c>
      <c r="C129" s="97" t="s">
        <v>54</v>
      </c>
      <c r="D129" s="636" t="s">
        <v>130</v>
      </c>
      <c r="E129" s="104">
        <f>E101+E102+E107+E112+E113+E116+E103+E106+E108+E110+E111+E115+E114</f>
        <v>115</v>
      </c>
      <c r="F129" s="104">
        <f>F101+F102+F107+F112+F113+F116+F103+F106+F108+F110+F111+F115+F114+F105+F104+F109</f>
        <v>101</v>
      </c>
      <c r="G129" s="684">
        <f>G101+G102+G107+G112+G113+G116+G103+G106+G108+G110+G111+G115+G114+G109+G104+G105</f>
        <v>101</v>
      </c>
      <c r="H129" s="104">
        <f t="shared" ref="H129:I129" si="143">H101+H102+H107+H112+H113+H116+H103+H106+H108+H110+H111+H115+H114+H109+H104+H105</f>
        <v>101</v>
      </c>
      <c r="I129" s="104">
        <f t="shared" si="143"/>
        <v>101</v>
      </c>
      <c r="J129" s="99">
        <v>0</v>
      </c>
      <c r="K129" s="98">
        <v>0</v>
      </c>
      <c r="L129" s="107">
        <v>61511.06</v>
      </c>
      <c r="M129" s="98">
        <f t="shared" si="96"/>
        <v>61511.06</v>
      </c>
      <c r="N129" s="98">
        <v>0</v>
      </c>
      <c r="O129" s="98">
        <f>G129*K129</f>
        <v>0</v>
      </c>
      <c r="P129" s="110"/>
      <c r="Q129" s="107">
        <f>G129*L129</f>
        <v>6212617.0599999996</v>
      </c>
      <c r="R129" s="99"/>
      <c r="S129" s="99"/>
      <c r="T129" s="102">
        <f>Q129</f>
        <v>6212617.0599999996</v>
      </c>
      <c r="U129" s="98">
        <f t="shared" si="100"/>
        <v>6212617.0599999996</v>
      </c>
      <c r="V129" s="98">
        <f t="shared" si="100"/>
        <v>6212617.0599999996</v>
      </c>
    </row>
    <row r="130" spans="1:29" ht="28.2" customHeight="1" x14ac:dyDescent="0.25">
      <c r="A130" s="587" t="s">
        <v>605</v>
      </c>
      <c r="B130" s="97" t="s">
        <v>134</v>
      </c>
      <c r="C130" s="97" t="s">
        <v>135</v>
      </c>
      <c r="D130" s="636"/>
      <c r="E130" s="110"/>
      <c r="F130" s="104"/>
      <c r="G130" s="109">
        <f>G129</f>
        <v>101</v>
      </c>
      <c r="H130" s="114">
        <f t="shared" ref="H130" si="144">H129</f>
        <v>101</v>
      </c>
      <c r="I130" s="114">
        <f>I129</f>
        <v>101</v>
      </c>
      <c r="J130" s="99"/>
      <c r="K130" s="98"/>
      <c r="L130" s="107">
        <v>20437.68</v>
      </c>
      <c r="M130" s="98">
        <f t="shared" si="96"/>
        <v>20437.68</v>
      </c>
      <c r="N130" s="110">
        <v>0</v>
      </c>
      <c r="O130" s="98"/>
      <c r="P130" s="110"/>
      <c r="Q130" s="99"/>
      <c r="R130" s="99"/>
      <c r="S130" s="107">
        <f>G130*L130</f>
        <v>2064205.68</v>
      </c>
      <c r="T130" s="102">
        <f>S130</f>
        <v>2064205.68</v>
      </c>
      <c r="U130" s="98">
        <f>T130</f>
        <v>2064205.68</v>
      </c>
      <c r="V130" s="98">
        <f>U130</f>
        <v>2064205.68</v>
      </c>
    </row>
    <row r="131" spans="1:29" ht="28.2" customHeight="1" x14ac:dyDescent="0.25">
      <c r="A131" s="864" t="s">
        <v>529</v>
      </c>
      <c r="B131" s="866" t="s">
        <v>530</v>
      </c>
      <c r="C131" s="669"/>
      <c r="D131" s="747" t="s">
        <v>24</v>
      </c>
      <c r="E131" s="748"/>
      <c r="F131" s="748">
        <v>30</v>
      </c>
      <c r="G131" s="749">
        <v>30</v>
      </c>
      <c r="H131" s="757">
        <v>30</v>
      </c>
      <c r="I131" s="757">
        <v>30</v>
      </c>
      <c r="J131" s="753">
        <f>N132/J132</f>
        <v>0</v>
      </c>
      <c r="K131" s="751"/>
      <c r="L131" s="752"/>
      <c r="M131" s="751">
        <f>N131</f>
        <v>0</v>
      </c>
      <c r="N131" s="748">
        <v>0</v>
      </c>
      <c r="O131" s="751"/>
      <c r="P131" s="748"/>
      <c r="Q131" s="751"/>
      <c r="R131" s="751"/>
      <c r="S131" s="753"/>
      <c r="T131" s="753">
        <f>SUM(N131:Q131)</f>
        <v>0</v>
      </c>
      <c r="U131" s="753"/>
      <c r="V131" s="753"/>
    </row>
    <row r="132" spans="1:29" ht="28.2" customHeight="1" x14ac:dyDescent="0.25">
      <c r="A132" s="865"/>
      <c r="B132" s="867"/>
      <c r="C132" s="669"/>
      <c r="D132" s="754" t="s">
        <v>235</v>
      </c>
      <c r="E132" s="748">
        <v>0</v>
      </c>
      <c r="F132" s="748">
        <f>36*F131</f>
        <v>1080</v>
      </c>
      <c r="G132" s="773">
        <f>13*1*G131-390</f>
        <v>0</v>
      </c>
      <c r="H132" s="793">
        <f>1080-1080</f>
        <v>0</v>
      </c>
      <c r="I132" s="793">
        <f>1080-1080</f>
        <v>0</v>
      </c>
      <c r="J132" s="750">
        <v>279.41000000000003</v>
      </c>
      <c r="K132" s="751"/>
      <c r="L132" s="752"/>
      <c r="M132" s="751"/>
      <c r="N132" s="792">
        <f>G132*J132+215.1-215.1</f>
        <v>0</v>
      </c>
      <c r="O132" s="751"/>
      <c r="P132" s="748"/>
      <c r="Q132" s="751"/>
      <c r="R132" s="751"/>
      <c r="S132" s="753"/>
      <c r="T132" s="750">
        <f>SUM(N132:Q132)</f>
        <v>0</v>
      </c>
      <c r="U132" s="753">
        <f>H132*J132</f>
        <v>0</v>
      </c>
      <c r="V132" s="753">
        <f>I132*J132</f>
        <v>0</v>
      </c>
    </row>
    <row r="133" spans="1:29" ht="18" customHeight="1" x14ac:dyDescent="0.25">
      <c r="A133" s="690"/>
      <c r="B133" s="686"/>
      <c r="C133" s="423" t="s">
        <v>38</v>
      </c>
      <c r="D133" s="636"/>
      <c r="E133" s="110"/>
      <c r="F133" s="104">
        <v>30</v>
      </c>
      <c r="G133" s="109">
        <v>30</v>
      </c>
      <c r="H133" s="684">
        <v>30</v>
      </c>
      <c r="I133" s="684">
        <v>30</v>
      </c>
      <c r="J133" s="105" t="s">
        <v>26</v>
      </c>
      <c r="K133" s="98" t="s">
        <v>26</v>
      </c>
      <c r="L133" s="101" t="s">
        <v>26</v>
      </c>
      <c r="M133" s="99"/>
      <c r="N133" s="105"/>
      <c r="O133" s="99"/>
      <c r="P133" s="104"/>
      <c r="Q133" s="99"/>
      <c r="R133" s="99"/>
      <c r="S133" s="105"/>
      <c r="T133" s="107"/>
      <c r="U133" s="105"/>
      <c r="V133" s="105"/>
    </row>
    <row r="134" spans="1:29" ht="21.6" customHeight="1" x14ac:dyDescent="0.25">
      <c r="A134" s="96" t="s">
        <v>148</v>
      </c>
      <c r="B134" s="96"/>
      <c r="C134" s="96"/>
      <c r="D134" s="112"/>
      <c r="E134" s="113"/>
      <c r="F134" s="114"/>
      <c r="G134" s="114"/>
      <c r="H134" s="113"/>
      <c r="I134" s="113"/>
      <c r="J134" s="101"/>
      <c r="K134" s="98"/>
      <c r="L134" s="101"/>
      <c r="M134" s="98">
        <f t="shared" si="96"/>
        <v>0</v>
      </c>
      <c r="N134" s="101">
        <f>N135</f>
        <v>11898117.879999999</v>
      </c>
      <c r="O134" s="101">
        <f>O135</f>
        <v>5977823.5899999999</v>
      </c>
      <c r="P134" s="101"/>
      <c r="Q134" s="785">
        <f>Q135+Q142-1.92</f>
        <v>15930951.26</v>
      </c>
      <c r="R134" s="101"/>
      <c r="S134" s="101">
        <f>S143</f>
        <v>2432083.92</v>
      </c>
      <c r="T134" s="101">
        <f>T135+T142+T143</f>
        <v>36238978.57</v>
      </c>
      <c r="U134" s="102">
        <f>U135+U142+U143</f>
        <v>36238978.57</v>
      </c>
      <c r="V134" s="102">
        <f>V135+V142+V143</f>
        <v>36238978.57</v>
      </c>
      <c r="W134" s="83">
        <v>6916925.5300000003</v>
      </c>
      <c r="X134" s="93">
        <f>W134-Q134</f>
        <v>-9014025.7300000004</v>
      </c>
      <c r="Y134" s="83">
        <f>X134/G142</f>
        <v>-75748.115378151269</v>
      </c>
      <c r="AA134" s="83">
        <v>6466219.5300000003</v>
      </c>
      <c r="AB134" s="93">
        <f>AA134-Q134</f>
        <v>-9464731.7300000004</v>
      </c>
      <c r="AC134" s="83">
        <f>AB134/I142</f>
        <v>-80895.142991453002</v>
      </c>
    </row>
    <row r="135" spans="1:29" ht="73.95" customHeight="1" x14ac:dyDescent="0.25">
      <c r="A135" s="92" t="s">
        <v>127</v>
      </c>
      <c r="B135" s="87" t="s">
        <v>128</v>
      </c>
      <c r="C135" s="87"/>
      <c r="D135" s="636"/>
      <c r="E135" s="110"/>
      <c r="F135" s="104"/>
      <c r="G135" s="104"/>
      <c r="H135" s="110"/>
      <c r="I135" s="110"/>
      <c r="J135" s="99"/>
      <c r="K135" s="98"/>
      <c r="L135" s="99"/>
      <c r="M135" s="98"/>
      <c r="N135" s="98">
        <f>SUM(N136:N141)</f>
        <v>11898117.879999999</v>
      </c>
      <c r="O135" s="98">
        <f>SUM(O136:O141)</f>
        <v>5977823.5899999999</v>
      </c>
      <c r="P135" s="98"/>
      <c r="Q135" s="107">
        <f>SUM(Q136:Q141)</f>
        <v>8611135.1199999992</v>
      </c>
      <c r="R135" s="99"/>
      <c r="S135" s="99"/>
      <c r="T135" s="786">
        <f>SUM(T136:T141)</f>
        <v>26487076.59</v>
      </c>
      <c r="U135" s="98">
        <f>SUM(U136:U141)</f>
        <v>26487076.59</v>
      </c>
      <c r="V135" s="98">
        <f>SUM(V136:V141)</f>
        <v>26487076.59</v>
      </c>
      <c r="W135" s="83">
        <v>17989534.530000001</v>
      </c>
      <c r="AA135" s="93">
        <f>17989534.53+U143</f>
        <v>20421618.450000003</v>
      </c>
      <c r="AB135" s="93">
        <f>U134-AA135</f>
        <v>15817360.119999997</v>
      </c>
    </row>
    <row r="136" spans="1:29" ht="103.2" customHeight="1" x14ac:dyDescent="0.25">
      <c r="A136" s="92"/>
      <c r="B136" s="97" t="s">
        <v>129</v>
      </c>
      <c r="C136" s="92" t="s">
        <v>304</v>
      </c>
      <c r="D136" s="636" t="s">
        <v>130</v>
      </c>
      <c r="E136" s="104">
        <f>18-18</f>
        <v>0</v>
      </c>
      <c r="F136" s="104">
        <f>18-18</f>
        <v>0</v>
      </c>
      <c r="G136" s="684">
        <v>0</v>
      </c>
      <c r="H136" s="684">
        <v>0</v>
      </c>
      <c r="I136" s="684">
        <v>0</v>
      </c>
      <c r="J136" s="99">
        <v>62813.1</v>
      </c>
      <c r="K136" s="98">
        <f>33955.33+10788.57</f>
        <v>44743.9</v>
      </c>
      <c r="L136" s="107">
        <v>72362.48</v>
      </c>
      <c r="M136" s="98">
        <f t="shared" si="96"/>
        <v>179919.47999999998</v>
      </c>
      <c r="N136" s="98">
        <f>G136*J136</f>
        <v>0</v>
      </c>
      <c r="O136" s="99">
        <f>G136*K136</f>
        <v>0</v>
      </c>
      <c r="P136" s="118"/>
      <c r="Q136" s="99">
        <f>G136*L136</f>
        <v>0</v>
      </c>
      <c r="R136" s="99"/>
      <c r="S136" s="99"/>
      <c r="T136" s="98">
        <f>SUM(N136:Q136)</f>
        <v>0</v>
      </c>
      <c r="U136" s="98">
        <f t="shared" ref="U136:V142" si="145">T136</f>
        <v>0</v>
      </c>
      <c r="V136" s="98">
        <f t="shared" si="145"/>
        <v>0</v>
      </c>
      <c r="W136" s="93"/>
      <c r="X136" s="93">
        <f>W135-U134</f>
        <v>-18249444.039999999</v>
      </c>
    </row>
    <row r="137" spans="1:29" ht="31.2" customHeight="1" x14ac:dyDescent="0.25">
      <c r="A137" s="92"/>
      <c r="B137" s="97" t="s">
        <v>340</v>
      </c>
      <c r="C137" s="868" t="s">
        <v>484</v>
      </c>
      <c r="D137" s="636" t="s">
        <v>130</v>
      </c>
      <c r="E137" s="104">
        <v>21</v>
      </c>
      <c r="F137" s="586">
        <v>22</v>
      </c>
      <c r="G137" s="684">
        <f>21+8</f>
        <v>29</v>
      </c>
      <c r="H137" s="684">
        <f>22+7</f>
        <v>29</v>
      </c>
      <c r="I137" s="684">
        <f>22+7</f>
        <v>29</v>
      </c>
      <c r="J137" s="99">
        <v>95705.64</v>
      </c>
      <c r="K137" s="98">
        <f>35180.26+12632.95</f>
        <v>47813.210000000006</v>
      </c>
      <c r="L137" s="107">
        <v>72362.48</v>
      </c>
      <c r="M137" s="98">
        <f t="shared" si="96"/>
        <v>215881.33000000002</v>
      </c>
      <c r="N137" s="98">
        <f>G137*J137</f>
        <v>2775463.56</v>
      </c>
      <c r="O137" s="99">
        <f>G137*K137</f>
        <v>1386583.09</v>
      </c>
      <c r="P137" s="110"/>
      <c r="Q137" s="787">
        <f>G137*L137+2</f>
        <v>2098513.9199999999</v>
      </c>
      <c r="R137" s="99"/>
      <c r="S137" s="99"/>
      <c r="T137" s="788">
        <f>SUM(N137:Q137)</f>
        <v>6260560.5700000003</v>
      </c>
      <c r="U137" s="98">
        <f t="shared" si="145"/>
        <v>6260560.5700000003</v>
      </c>
      <c r="V137" s="98">
        <f t="shared" si="145"/>
        <v>6260560.5700000003</v>
      </c>
    </row>
    <row r="138" spans="1:29" ht="30.6" customHeight="1" x14ac:dyDescent="0.25">
      <c r="A138" s="92"/>
      <c r="B138" s="97" t="s">
        <v>129</v>
      </c>
      <c r="C138" s="869"/>
      <c r="D138" s="636" t="s">
        <v>130</v>
      </c>
      <c r="E138" s="104">
        <v>16</v>
      </c>
      <c r="F138" s="586">
        <v>16</v>
      </c>
      <c r="G138" s="684">
        <v>16</v>
      </c>
      <c r="H138" s="684">
        <v>16</v>
      </c>
      <c r="I138" s="684">
        <v>16</v>
      </c>
      <c r="J138" s="99">
        <v>127527.31</v>
      </c>
      <c r="K138" s="98">
        <f>46867.01+12632.95*1.5</f>
        <v>65816.434999999998</v>
      </c>
      <c r="L138" s="107">
        <v>72362.48</v>
      </c>
      <c r="M138" s="98">
        <f t="shared" si="96"/>
        <v>265706.22499999998</v>
      </c>
      <c r="N138" s="98">
        <f t="shared" ref="N138" si="146">G138*J138</f>
        <v>2040436.96</v>
      </c>
      <c r="O138" s="99">
        <f>G138*K138</f>
        <v>1053062.96</v>
      </c>
      <c r="P138" s="110"/>
      <c r="Q138" s="99">
        <f t="shared" ref="Q138" si="147">G138*L138</f>
        <v>1157799.68</v>
      </c>
      <c r="R138" s="99"/>
      <c r="S138" s="99"/>
      <c r="T138" s="98">
        <f t="shared" ref="T138:T141" si="148">SUM(N138:Q138)</f>
        <v>4251299.5999999996</v>
      </c>
      <c r="U138" s="98">
        <f t="shared" si="145"/>
        <v>4251299.5999999996</v>
      </c>
      <c r="V138" s="98">
        <f t="shared" si="145"/>
        <v>4251299.5999999996</v>
      </c>
    </row>
    <row r="139" spans="1:29" ht="30.6" customHeight="1" x14ac:dyDescent="0.25">
      <c r="A139" s="92"/>
      <c r="B139" s="97" t="s">
        <v>129</v>
      </c>
      <c r="C139" s="869"/>
      <c r="D139" s="636" t="s">
        <v>130</v>
      </c>
      <c r="E139" s="104"/>
      <c r="F139" s="586"/>
      <c r="G139" s="684">
        <v>2</v>
      </c>
      <c r="H139" s="684">
        <v>2</v>
      </c>
      <c r="I139" s="684">
        <v>2</v>
      </c>
      <c r="J139" s="99">
        <v>95705.64</v>
      </c>
      <c r="K139" s="98">
        <f>35180.26+12632.95</f>
        <v>47813.210000000006</v>
      </c>
      <c r="L139" s="107">
        <v>72361.48</v>
      </c>
      <c r="M139" s="98">
        <f t="shared" ref="M139" si="149">J139+K139+L139</f>
        <v>215880.33000000002</v>
      </c>
      <c r="N139" s="98">
        <f>G139*J139</f>
        <v>191411.28</v>
      </c>
      <c r="O139" s="98">
        <f t="shared" ref="O139" si="150">G139*K139</f>
        <v>95626.420000000013</v>
      </c>
      <c r="P139" s="110"/>
      <c r="Q139" s="99">
        <f>G139*L139</f>
        <v>144722.96</v>
      </c>
      <c r="R139" s="99"/>
      <c r="S139" s="99"/>
      <c r="T139" s="98">
        <f>SUM(N139:Q139)</f>
        <v>431760.66000000003</v>
      </c>
      <c r="U139" s="98">
        <f>T139</f>
        <v>431760.66000000003</v>
      </c>
      <c r="V139" s="98">
        <f>U139</f>
        <v>431760.66000000003</v>
      </c>
    </row>
    <row r="140" spans="1:29" ht="31.95" customHeight="1" x14ac:dyDescent="0.25">
      <c r="A140" s="488" t="s">
        <v>608</v>
      </c>
      <c r="B140" s="97" t="s">
        <v>340</v>
      </c>
      <c r="C140" s="870"/>
      <c r="D140" s="636" t="s">
        <v>130</v>
      </c>
      <c r="E140" s="104">
        <v>2</v>
      </c>
      <c r="F140" s="586">
        <v>1</v>
      </c>
      <c r="G140" s="109">
        <v>2</v>
      </c>
      <c r="H140" s="109">
        <v>2</v>
      </c>
      <c r="I140" s="109">
        <v>2</v>
      </c>
      <c r="J140" s="99">
        <v>95705.64</v>
      </c>
      <c r="K140" s="98">
        <f>35180.26+12632.95</f>
        <v>47813.210000000006</v>
      </c>
      <c r="L140" s="107">
        <v>72362.48</v>
      </c>
      <c r="M140" s="98">
        <f t="shared" si="96"/>
        <v>215881.33000000002</v>
      </c>
      <c r="N140" s="98">
        <f>G140*J140</f>
        <v>191411.28</v>
      </c>
      <c r="O140" s="98">
        <f t="shared" ref="O140" si="151">G140*K140</f>
        <v>95626.420000000013</v>
      </c>
      <c r="P140" s="110"/>
      <c r="Q140" s="99">
        <f>G140*L140</f>
        <v>144724.96</v>
      </c>
      <c r="R140" s="99"/>
      <c r="S140" s="99"/>
      <c r="T140" s="98">
        <f>SUM(N140:Q140)</f>
        <v>431762.66000000003</v>
      </c>
      <c r="U140" s="98">
        <f>T140</f>
        <v>431762.66000000003</v>
      </c>
      <c r="V140" s="98">
        <f>U140</f>
        <v>431762.66000000003</v>
      </c>
    </row>
    <row r="141" spans="1:29" ht="28.95" customHeight="1" x14ac:dyDescent="0.25">
      <c r="A141" s="97"/>
      <c r="B141" s="97" t="s">
        <v>338</v>
      </c>
      <c r="C141" s="871"/>
      <c r="D141" s="636" t="s">
        <v>130</v>
      </c>
      <c r="E141" s="104">
        <v>89</v>
      </c>
      <c r="F141" s="586">
        <v>80</v>
      </c>
      <c r="G141" s="684">
        <f>86-16</f>
        <v>70</v>
      </c>
      <c r="H141" s="684">
        <f t="shared" ref="H141:I141" si="152">86-16</f>
        <v>70</v>
      </c>
      <c r="I141" s="684">
        <f t="shared" si="152"/>
        <v>70</v>
      </c>
      <c r="J141" s="99">
        <v>95705.64</v>
      </c>
      <c r="K141" s="98">
        <f>35180.26+12632.95</f>
        <v>47813.210000000006</v>
      </c>
      <c r="L141" s="107">
        <v>72362.48</v>
      </c>
      <c r="M141" s="98">
        <f t="shared" si="96"/>
        <v>215881.33000000002</v>
      </c>
      <c r="N141" s="98">
        <f>G141*J141</f>
        <v>6699394.7999999998</v>
      </c>
      <c r="O141" s="101">
        <f>G141*K141</f>
        <v>3346924.7000000007</v>
      </c>
      <c r="P141" s="118"/>
      <c r="Q141" s="99">
        <f>G141*L141</f>
        <v>5065373.5999999996</v>
      </c>
      <c r="R141" s="99"/>
      <c r="S141" s="99"/>
      <c r="T141" s="98">
        <f t="shared" si="148"/>
        <v>15111693.1</v>
      </c>
      <c r="U141" s="98">
        <f t="shared" si="145"/>
        <v>15111693.1</v>
      </c>
      <c r="V141" s="98">
        <f t="shared" si="145"/>
        <v>15111693.1</v>
      </c>
    </row>
    <row r="142" spans="1:29" ht="61.95" customHeight="1" x14ac:dyDescent="0.25">
      <c r="A142" s="92" t="s">
        <v>133</v>
      </c>
      <c r="B142" s="97" t="s">
        <v>134</v>
      </c>
      <c r="C142" s="97" t="s">
        <v>54</v>
      </c>
      <c r="D142" s="636" t="s">
        <v>130</v>
      </c>
      <c r="E142" s="104">
        <f>E136+E137+E138+E140+E141</f>
        <v>128</v>
      </c>
      <c r="F142" s="683">
        <f>F136+F137+F138+F140+F141</f>
        <v>119</v>
      </c>
      <c r="G142" s="109">
        <f>G136+G137+G138+G140+G141+G139</f>
        <v>119</v>
      </c>
      <c r="H142" s="114">
        <f>H136+H137+H138+H140+H141</f>
        <v>117</v>
      </c>
      <c r="I142" s="114">
        <f>I136+I137+I138+I140+I141</f>
        <v>117</v>
      </c>
      <c r="J142" s="99">
        <v>0</v>
      </c>
      <c r="K142" s="98">
        <v>0</v>
      </c>
      <c r="L142" s="107">
        <v>61511.06</v>
      </c>
      <c r="M142" s="98">
        <f t="shared" si="96"/>
        <v>61511.06</v>
      </c>
      <c r="N142" s="98">
        <f>G142*J142</f>
        <v>0</v>
      </c>
      <c r="O142" s="98">
        <f>G142*K142</f>
        <v>0</v>
      </c>
      <c r="P142" s="110"/>
      <c r="Q142" s="107">
        <f>G142*L142+1.92</f>
        <v>7319818.0599999996</v>
      </c>
      <c r="R142" s="99"/>
      <c r="S142" s="99"/>
      <c r="T142" s="102">
        <f>SUM(N142:Q142)</f>
        <v>7319818.0599999996</v>
      </c>
      <c r="U142" s="98">
        <f t="shared" si="145"/>
        <v>7319818.0599999996</v>
      </c>
      <c r="V142" s="98">
        <f t="shared" si="145"/>
        <v>7319818.0599999996</v>
      </c>
    </row>
    <row r="143" spans="1:29" ht="30" customHeight="1" x14ac:dyDescent="0.25">
      <c r="A143" s="490" t="s">
        <v>535</v>
      </c>
      <c r="B143" s="97" t="s">
        <v>134</v>
      </c>
      <c r="C143" s="97" t="s">
        <v>135</v>
      </c>
      <c r="D143" s="636"/>
      <c r="E143" s="110"/>
      <c r="F143" s="104"/>
      <c r="G143" s="109">
        <f>G142</f>
        <v>119</v>
      </c>
      <c r="H143" s="114">
        <f t="shared" ref="H143:I143" si="153">H142</f>
        <v>117</v>
      </c>
      <c r="I143" s="114">
        <f t="shared" si="153"/>
        <v>117</v>
      </c>
      <c r="J143" s="99"/>
      <c r="K143" s="98"/>
      <c r="L143" s="107">
        <v>20437.68</v>
      </c>
      <c r="M143" s="98">
        <f t="shared" si="96"/>
        <v>20437.68</v>
      </c>
      <c r="N143" s="110"/>
      <c r="O143" s="98"/>
      <c r="P143" s="110"/>
      <c r="Q143" s="99"/>
      <c r="R143" s="99"/>
      <c r="S143" s="107">
        <f>G143*L143</f>
        <v>2432083.92</v>
      </c>
      <c r="T143" s="102">
        <f>S143</f>
        <v>2432083.92</v>
      </c>
      <c r="U143" s="98">
        <f>T143</f>
        <v>2432083.92</v>
      </c>
      <c r="V143" s="98">
        <f>U143</f>
        <v>2432083.92</v>
      </c>
    </row>
    <row r="144" spans="1:29" ht="21" customHeight="1" x14ac:dyDescent="0.25">
      <c r="A144" s="96" t="s">
        <v>149</v>
      </c>
      <c r="B144" s="96"/>
      <c r="C144" s="96"/>
      <c r="D144" s="112"/>
      <c r="E144" s="113"/>
      <c r="F144" s="114"/>
      <c r="G144" s="114"/>
      <c r="H144" s="113"/>
      <c r="I144" s="113"/>
      <c r="J144" s="101"/>
      <c r="K144" s="98"/>
      <c r="L144" s="101"/>
      <c r="M144" s="98">
        <f t="shared" si="96"/>
        <v>0</v>
      </c>
      <c r="N144" s="107">
        <f>N145+N157</f>
        <v>13857509.370000001</v>
      </c>
      <c r="O144" s="101">
        <f>O145</f>
        <v>8214840.3499999996</v>
      </c>
      <c r="P144" s="114"/>
      <c r="Q144" s="777">
        <f>Q145+Q154</f>
        <v>16466445.420000002</v>
      </c>
      <c r="R144" s="101"/>
      <c r="S144" s="101">
        <f>S155</f>
        <v>2513834.64</v>
      </c>
      <c r="T144" s="101">
        <f>T145+T154+T155+T157</f>
        <v>41052629.780000001</v>
      </c>
      <c r="U144" s="102">
        <f>U145+U154+U155+U157</f>
        <v>41052629.780000001</v>
      </c>
      <c r="V144" s="102">
        <f>V145+V154+V155+V157</f>
        <v>41052629.780000001</v>
      </c>
      <c r="W144" s="83">
        <v>7637084.2800000003</v>
      </c>
      <c r="X144" s="93">
        <f>W144-Q144</f>
        <v>-8829361.1400000006</v>
      </c>
      <c r="Y144" s="83">
        <f>X144/G154</f>
        <v>-71783.423902439026</v>
      </c>
      <c r="AA144" s="83">
        <v>7421318.2800000003</v>
      </c>
      <c r="AB144" s="93">
        <f>AA144-Q144</f>
        <v>-9045127.1400000006</v>
      </c>
      <c r="AC144" s="83">
        <f>AB144/I154</f>
        <v>-83751.177222222221</v>
      </c>
    </row>
    <row r="145" spans="1:29" ht="79.95" customHeight="1" x14ac:dyDescent="0.25">
      <c r="A145" s="92" t="s">
        <v>127</v>
      </c>
      <c r="B145" s="87" t="s">
        <v>128</v>
      </c>
      <c r="C145" s="87"/>
      <c r="D145" s="636"/>
      <c r="E145" s="110"/>
      <c r="F145" s="104"/>
      <c r="G145" s="104"/>
      <c r="H145" s="110"/>
      <c r="I145" s="110"/>
      <c r="J145" s="99"/>
      <c r="K145" s="98"/>
      <c r="L145" s="99"/>
      <c r="M145" s="98"/>
      <c r="N145" s="98">
        <f>SUM(N146:N153)</f>
        <v>13857509.370000001</v>
      </c>
      <c r="O145" s="98">
        <f t="shared" ref="O145:V145" si="154">SUM(O146:O153)</f>
        <v>8214840.3499999996</v>
      </c>
      <c r="P145" s="98">
        <f t="shared" si="154"/>
        <v>0</v>
      </c>
      <c r="Q145" s="373">
        <f t="shared" si="154"/>
        <v>8900585.040000001</v>
      </c>
      <c r="R145" s="98">
        <f t="shared" si="154"/>
        <v>0</v>
      </c>
      <c r="S145" s="98"/>
      <c r="T145" s="102">
        <f t="shared" si="154"/>
        <v>30972934.759999998</v>
      </c>
      <c r="U145" s="98">
        <f t="shared" si="154"/>
        <v>30972934.759999998</v>
      </c>
      <c r="V145" s="98">
        <f t="shared" si="154"/>
        <v>30972934.759999998</v>
      </c>
      <c r="W145" s="93">
        <v>18749103.280000001</v>
      </c>
      <c r="Y145" s="93"/>
      <c r="AA145" s="93">
        <f>18749103.28+U155</f>
        <v>21262937.920000002</v>
      </c>
      <c r="AB145" s="93">
        <f>U144-AA145</f>
        <v>19789691.859999999</v>
      </c>
    </row>
    <row r="146" spans="1:29" ht="108" customHeight="1" x14ac:dyDescent="0.25">
      <c r="A146" s="92"/>
      <c r="B146" s="92" t="s">
        <v>129</v>
      </c>
      <c r="C146" s="632" t="s">
        <v>304</v>
      </c>
      <c r="D146" s="636" t="s">
        <v>130</v>
      </c>
      <c r="E146" s="104">
        <v>16</v>
      </c>
      <c r="F146" s="586">
        <v>14</v>
      </c>
      <c r="G146" s="684">
        <v>14</v>
      </c>
      <c r="H146" s="684">
        <v>14</v>
      </c>
      <c r="I146" s="684">
        <v>14</v>
      </c>
      <c r="J146" s="99">
        <v>62813.1</v>
      </c>
      <c r="K146" s="98">
        <f>46867.01+15452.52*1</f>
        <v>62319.53</v>
      </c>
      <c r="L146" s="107">
        <v>72362.48</v>
      </c>
      <c r="M146" s="98">
        <f t="shared" ref="M146" si="155">J146+K146+L146</f>
        <v>197495.11</v>
      </c>
      <c r="N146" s="99">
        <f t="shared" ref="N146:N152" si="156">G146*J146</f>
        <v>879383.4</v>
      </c>
      <c r="O146" s="98">
        <f>G146*K146</f>
        <v>872473.41999999993</v>
      </c>
      <c r="P146" s="110"/>
      <c r="Q146" s="99">
        <f>G146*L146</f>
        <v>1013074.72</v>
      </c>
      <c r="R146" s="99"/>
      <c r="S146" s="99"/>
      <c r="T146" s="98">
        <f>SUM(N146:Q146)</f>
        <v>2764931.54</v>
      </c>
      <c r="U146" s="98">
        <f t="shared" ref="U146:V152" si="157">T146</f>
        <v>2764931.54</v>
      </c>
      <c r="V146" s="98">
        <f t="shared" si="157"/>
        <v>2764931.54</v>
      </c>
      <c r="W146" s="93"/>
      <c r="Y146" s="93"/>
      <c r="AA146" s="93"/>
      <c r="AB146" s="93"/>
    </row>
    <row r="147" spans="1:29" ht="26.4" customHeight="1" x14ac:dyDescent="0.25">
      <c r="A147" s="92"/>
      <c r="B147" s="97" t="s">
        <v>129</v>
      </c>
      <c r="C147" s="868" t="s">
        <v>361</v>
      </c>
      <c r="D147" s="636" t="s">
        <v>130</v>
      </c>
      <c r="E147" s="104">
        <v>14</v>
      </c>
      <c r="F147" s="586">
        <v>23</v>
      </c>
      <c r="G147" s="684">
        <v>23</v>
      </c>
      <c r="H147" s="684">
        <v>23</v>
      </c>
      <c r="I147" s="684">
        <v>23</v>
      </c>
      <c r="J147" s="99">
        <v>127527.31</v>
      </c>
      <c r="K147" s="98">
        <f>46867.01+15452.52*1.5</f>
        <v>70045.790000000008</v>
      </c>
      <c r="L147" s="107">
        <v>72362.48</v>
      </c>
      <c r="M147" s="98">
        <f t="shared" si="96"/>
        <v>269935.58</v>
      </c>
      <c r="N147" s="99">
        <f t="shared" si="156"/>
        <v>2933128.13</v>
      </c>
      <c r="O147" s="98">
        <f>G147*K147</f>
        <v>1611053.1700000002</v>
      </c>
      <c r="P147" s="110"/>
      <c r="Q147" s="99">
        <f>G147*L147</f>
        <v>1664337.0399999998</v>
      </c>
      <c r="R147" s="99"/>
      <c r="S147" s="99"/>
      <c r="T147" s="98">
        <f>SUM(N147:Q147)</f>
        <v>6208518.3399999999</v>
      </c>
      <c r="U147" s="98">
        <f t="shared" si="157"/>
        <v>6208518.3399999999</v>
      </c>
      <c r="V147" s="98">
        <f t="shared" si="157"/>
        <v>6208518.3399999999</v>
      </c>
    </row>
    <row r="148" spans="1:29" ht="25.95" customHeight="1" x14ac:dyDescent="0.25">
      <c r="A148" s="488" t="s">
        <v>351</v>
      </c>
      <c r="B148" s="97" t="s">
        <v>338</v>
      </c>
      <c r="C148" s="872"/>
      <c r="D148" s="636" t="s">
        <v>130</v>
      </c>
      <c r="E148" s="104">
        <v>1</v>
      </c>
      <c r="F148" s="586">
        <v>1</v>
      </c>
      <c r="G148" s="109">
        <f>1-1</f>
        <v>0</v>
      </c>
      <c r="H148" s="109">
        <f>1-1</f>
        <v>0</v>
      </c>
      <c r="I148" s="109">
        <f>1-1</f>
        <v>0</v>
      </c>
      <c r="J148" s="99">
        <v>95705.64</v>
      </c>
      <c r="K148" s="98">
        <f>35180.26+15452.52*1</f>
        <v>50632.78</v>
      </c>
      <c r="L148" s="107">
        <v>72362.48</v>
      </c>
      <c r="M148" s="98">
        <f t="shared" si="96"/>
        <v>218700.89999999997</v>
      </c>
      <c r="N148" s="99">
        <f t="shared" si="156"/>
        <v>0</v>
      </c>
      <c r="O148" s="98">
        <f t="shared" ref="O148:O153" si="158">G148*K148</f>
        <v>0</v>
      </c>
      <c r="P148" s="110"/>
      <c r="Q148" s="99">
        <f>G148*L148</f>
        <v>0</v>
      </c>
      <c r="R148" s="99"/>
      <c r="S148" s="99"/>
      <c r="T148" s="98">
        <f>SUM(N148:Q148)</f>
        <v>0</v>
      </c>
      <c r="U148" s="98">
        <f t="shared" si="157"/>
        <v>0</v>
      </c>
      <c r="V148" s="98">
        <f t="shared" si="157"/>
        <v>0</v>
      </c>
      <c r="X148" s="93">
        <f>W145-U144</f>
        <v>-22303526.5</v>
      </c>
    </row>
    <row r="149" spans="1:29" ht="27" customHeight="1" x14ac:dyDescent="0.25">
      <c r="A149" s="670" t="s">
        <v>350</v>
      </c>
      <c r="B149" s="97" t="s">
        <v>340</v>
      </c>
      <c r="C149" s="872"/>
      <c r="D149" s="636" t="s">
        <v>130</v>
      </c>
      <c r="E149" s="104">
        <v>32</v>
      </c>
      <c r="F149" s="586">
        <v>16</v>
      </c>
      <c r="G149" s="684">
        <v>16</v>
      </c>
      <c r="H149" s="684">
        <v>16</v>
      </c>
      <c r="I149" s="684">
        <v>16</v>
      </c>
      <c r="J149" s="99">
        <v>209100.19</v>
      </c>
      <c r="K149" s="98">
        <f>70240.51+15452.52*2</f>
        <v>101145.54999999999</v>
      </c>
      <c r="L149" s="107">
        <v>72362.48</v>
      </c>
      <c r="M149" s="98">
        <f t="shared" si="96"/>
        <v>382608.22</v>
      </c>
      <c r="N149" s="99">
        <f t="shared" si="156"/>
        <v>3345603.04</v>
      </c>
      <c r="O149" s="98">
        <f>G149*K149-1665314.93+29422.01+1693637.36</f>
        <v>1676073.24</v>
      </c>
      <c r="P149" s="110"/>
      <c r="Q149" s="99">
        <f t="shared" ref="Q149" si="159">G149*L149</f>
        <v>1157799.68</v>
      </c>
      <c r="R149" s="99"/>
      <c r="S149" s="99"/>
      <c r="T149" s="98">
        <f t="shared" ref="T149" si="160">SUM(N149:Q149)</f>
        <v>6179475.96</v>
      </c>
      <c r="U149" s="98">
        <f t="shared" si="157"/>
        <v>6179475.96</v>
      </c>
      <c r="V149" s="98">
        <f t="shared" si="157"/>
        <v>6179475.96</v>
      </c>
    </row>
    <row r="150" spans="1:29" ht="25.2" customHeight="1" x14ac:dyDescent="0.25">
      <c r="A150" s="97"/>
      <c r="B150" s="97" t="s">
        <v>338</v>
      </c>
      <c r="C150" s="872"/>
      <c r="D150" s="636" t="s">
        <v>130</v>
      </c>
      <c r="E150" s="104">
        <v>54</v>
      </c>
      <c r="F150" s="586">
        <v>60</v>
      </c>
      <c r="G150" s="684">
        <v>60</v>
      </c>
      <c r="H150" s="684">
        <f>51-6</f>
        <v>45</v>
      </c>
      <c r="I150" s="684">
        <f>51-6</f>
        <v>45</v>
      </c>
      <c r="J150" s="99">
        <v>95705.64</v>
      </c>
      <c r="K150" s="98">
        <f>35180.26+15452.52*1</f>
        <v>50632.78</v>
      </c>
      <c r="L150" s="107">
        <v>72362.48</v>
      </c>
      <c r="M150" s="98">
        <f t="shared" si="96"/>
        <v>218700.89999999997</v>
      </c>
      <c r="N150" s="99">
        <f t="shared" si="156"/>
        <v>5742338.4000000004</v>
      </c>
      <c r="O150" s="98">
        <f>G150*K150</f>
        <v>3037966.8</v>
      </c>
      <c r="P150" s="110"/>
      <c r="Q150" s="99">
        <f>G150*L150</f>
        <v>4341748.8</v>
      </c>
      <c r="R150" s="99"/>
      <c r="S150" s="99"/>
      <c r="T150" s="98">
        <f>SUM(N150:Q150)</f>
        <v>13122054</v>
      </c>
      <c r="U150" s="98">
        <f t="shared" si="157"/>
        <v>13122054</v>
      </c>
      <c r="V150" s="98">
        <f t="shared" si="157"/>
        <v>13122054</v>
      </c>
    </row>
    <row r="151" spans="1:29" ht="27" customHeight="1" x14ac:dyDescent="0.25">
      <c r="A151" s="97"/>
      <c r="B151" s="97" t="s">
        <v>338</v>
      </c>
      <c r="C151" s="872"/>
      <c r="D151" s="636" t="s">
        <v>130</v>
      </c>
      <c r="E151" s="104">
        <v>8</v>
      </c>
      <c r="F151" s="586">
        <f>8-3</f>
        <v>5</v>
      </c>
      <c r="G151" s="684">
        <f>7</f>
        <v>7</v>
      </c>
      <c r="H151" s="684">
        <f>7</f>
        <v>7</v>
      </c>
      <c r="I151" s="684">
        <f>7</f>
        <v>7</v>
      </c>
      <c r="J151" s="99">
        <v>95705.64</v>
      </c>
      <c r="K151" s="98">
        <f>35180.26+15452.52*1</f>
        <v>50632.78</v>
      </c>
      <c r="L151" s="107">
        <v>72362.48</v>
      </c>
      <c r="M151" s="98">
        <f t="shared" si="96"/>
        <v>218700.89999999997</v>
      </c>
      <c r="N151" s="99">
        <f t="shared" si="156"/>
        <v>669939.48</v>
      </c>
      <c r="O151" s="98">
        <f>G151*K151</f>
        <v>354429.45999999996</v>
      </c>
      <c r="P151" s="110"/>
      <c r="Q151" s="99">
        <f>G151*L151</f>
        <v>506537.36</v>
      </c>
      <c r="R151" s="99"/>
      <c r="S151" s="99"/>
      <c r="T151" s="98">
        <f>SUM(N151:Q151)</f>
        <v>1530906.2999999998</v>
      </c>
      <c r="U151" s="98">
        <f t="shared" si="157"/>
        <v>1530906.2999999998</v>
      </c>
      <c r="V151" s="98">
        <f t="shared" si="157"/>
        <v>1530906.2999999998</v>
      </c>
    </row>
    <row r="152" spans="1:29" ht="27" customHeight="1" x14ac:dyDescent="0.25">
      <c r="A152" s="488" t="s">
        <v>534</v>
      </c>
      <c r="B152" s="92" t="s">
        <v>334</v>
      </c>
      <c r="C152" s="872"/>
      <c r="D152" s="636" t="s">
        <v>130</v>
      </c>
      <c r="E152" s="104">
        <v>1</v>
      </c>
      <c r="F152" s="586">
        <v>1</v>
      </c>
      <c r="G152" s="109">
        <v>1</v>
      </c>
      <c r="H152" s="109">
        <v>1</v>
      </c>
      <c r="I152" s="109">
        <v>1</v>
      </c>
      <c r="J152" s="99">
        <v>95705.64</v>
      </c>
      <c r="K152" s="98">
        <f>35180.26+15452.52*1</f>
        <v>50632.78</v>
      </c>
      <c r="L152" s="107">
        <v>72362.48</v>
      </c>
      <c r="M152" s="98">
        <f t="shared" si="96"/>
        <v>218700.89999999997</v>
      </c>
      <c r="N152" s="99">
        <f t="shared" si="156"/>
        <v>95705.64</v>
      </c>
      <c r="O152" s="98">
        <f>G152*K152-50018.18</f>
        <v>614.59999999999854</v>
      </c>
      <c r="P152" s="110"/>
      <c r="Q152" s="99">
        <f>G152*L152</f>
        <v>72362.48</v>
      </c>
      <c r="R152" s="99"/>
      <c r="S152" s="99"/>
      <c r="T152" s="98">
        <f>SUM(N152:Q152)</f>
        <v>168682.71999999997</v>
      </c>
      <c r="U152" s="98">
        <f t="shared" si="157"/>
        <v>168682.71999999997</v>
      </c>
      <c r="V152" s="98">
        <f t="shared" si="157"/>
        <v>168682.71999999997</v>
      </c>
    </row>
    <row r="153" spans="1:29" ht="23.4" customHeight="1" x14ac:dyDescent="0.25">
      <c r="A153" s="669" t="s">
        <v>350</v>
      </c>
      <c r="B153" s="97" t="s">
        <v>129</v>
      </c>
      <c r="C153" s="873"/>
      <c r="D153" s="636" t="s">
        <v>130</v>
      </c>
      <c r="E153" s="104">
        <v>3</v>
      </c>
      <c r="F153" s="586">
        <v>3</v>
      </c>
      <c r="G153" s="684">
        <v>2</v>
      </c>
      <c r="H153" s="684">
        <v>2</v>
      </c>
      <c r="I153" s="684">
        <v>2</v>
      </c>
      <c r="J153" s="99">
        <v>95705.64</v>
      </c>
      <c r="K153" s="98">
        <f>35180.26+15452.52*1+280482.05</f>
        <v>331114.82999999996</v>
      </c>
      <c r="L153" s="107">
        <v>72362.48</v>
      </c>
      <c r="M153" s="98">
        <f t="shared" si="96"/>
        <v>499182.94999999995</v>
      </c>
      <c r="N153" s="99">
        <f>J153*G153</f>
        <v>191411.28</v>
      </c>
      <c r="O153" s="98">
        <f t="shared" si="158"/>
        <v>662229.65999999992</v>
      </c>
      <c r="P153" s="110"/>
      <c r="Q153" s="99">
        <f t="shared" ref="Q153" si="161">G153*L153</f>
        <v>144724.96</v>
      </c>
      <c r="R153" s="99"/>
      <c r="S153" s="99"/>
      <c r="T153" s="98">
        <f>SUM(N153:Q153)</f>
        <v>998365.89999999991</v>
      </c>
      <c r="U153" s="98">
        <f>T153</f>
        <v>998365.89999999991</v>
      </c>
      <c r="V153" s="98">
        <f>U153</f>
        <v>998365.89999999991</v>
      </c>
    </row>
    <row r="154" spans="1:29" ht="61.2" customHeight="1" x14ac:dyDescent="0.25">
      <c r="A154" s="92" t="s">
        <v>133</v>
      </c>
      <c r="B154" s="97" t="s">
        <v>134</v>
      </c>
      <c r="C154" s="97" t="s">
        <v>54</v>
      </c>
      <c r="D154" s="636" t="s">
        <v>130</v>
      </c>
      <c r="E154" s="114">
        <f>E150+E149+E148+E147+E153+E152+E146+E151</f>
        <v>129</v>
      </c>
      <c r="F154" s="683">
        <f>F150+F149+F148+F147+F153+F152+F146+F151</f>
        <v>123</v>
      </c>
      <c r="G154" s="109">
        <f>G150+G149+G148+G147+G153+G152+G146+G151</f>
        <v>123</v>
      </c>
      <c r="H154" s="109">
        <f>H150+H149+H148+H147+H153+H152+H146+H151</f>
        <v>108</v>
      </c>
      <c r="I154" s="109">
        <f>I150+I149+I148+I147+I153+I152+I146+I151</f>
        <v>108</v>
      </c>
      <c r="J154" s="99">
        <v>0</v>
      </c>
      <c r="K154" s="99">
        <v>0</v>
      </c>
      <c r="L154" s="107">
        <v>61511.06</v>
      </c>
      <c r="M154" s="99">
        <f>J154+K154+L154</f>
        <v>61511.06</v>
      </c>
      <c r="N154" s="99">
        <f>G154*J154</f>
        <v>0</v>
      </c>
      <c r="O154" s="99">
        <f>G154*K154</f>
        <v>0</v>
      </c>
      <c r="P154" s="104">
        <f>P150+P149+P148+P147+P153+P152</f>
        <v>0</v>
      </c>
      <c r="Q154" s="107">
        <f>G154*L154</f>
        <v>7565860.3799999999</v>
      </c>
      <c r="R154" s="104">
        <f>R150+R149+R148+R147+R153+R152</f>
        <v>0</v>
      </c>
      <c r="S154" s="104"/>
      <c r="T154" s="102">
        <f>SUM(N154:Q154)</f>
        <v>7565860.3799999999</v>
      </c>
      <c r="U154" s="99">
        <f>T154</f>
        <v>7565860.3799999999</v>
      </c>
      <c r="V154" s="99">
        <f>U154</f>
        <v>7565860.3799999999</v>
      </c>
    </row>
    <row r="155" spans="1:29" ht="31.95" customHeight="1" x14ac:dyDescent="0.25">
      <c r="A155" s="587" t="s">
        <v>510</v>
      </c>
      <c r="B155" s="97" t="s">
        <v>134</v>
      </c>
      <c r="C155" s="97" t="s">
        <v>135</v>
      </c>
      <c r="D155" s="636"/>
      <c r="E155" s="110"/>
      <c r="F155" s="104"/>
      <c r="G155" s="114">
        <f>G154</f>
        <v>123</v>
      </c>
      <c r="H155" s="114">
        <f t="shared" ref="H155:I155" si="162">H154</f>
        <v>108</v>
      </c>
      <c r="I155" s="114">
        <f t="shared" si="162"/>
        <v>108</v>
      </c>
      <c r="J155" s="99"/>
      <c r="K155" s="98"/>
      <c r="L155" s="107">
        <v>20437.68</v>
      </c>
      <c r="M155" s="98">
        <f t="shared" si="96"/>
        <v>20437.68</v>
      </c>
      <c r="N155" s="110"/>
      <c r="O155" s="98"/>
      <c r="P155" s="110"/>
      <c r="Q155" s="99"/>
      <c r="R155" s="99"/>
      <c r="S155" s="107">
        <f>G155*L155</f>
        <v>2513834.64</v>
      </c>
      <c r="T155" s="102">
        <f>S155</f>
        <v>2513834.64</v>
      </c>
      <c r="U155" s="98">
        <f>S155</f>
        <v>2513834.64</v>
      </c>
      <c r="V155" s="98">
        <f>S155</f>
        <v>2513834.64</v>
      </c>
    </row>
    <row r="156" spans="1:29" ht="31.95" customHeight="1" x14ac:dyDescent="0.25">
      <c r="A156" s="864" t="s">
        <v>536</v>
      </c>
      <c r="B156" s="866" t="s">
        <v>530</v>
      </c>
      <c r="C156" s="669"/>
      <c r="D156" s="747" t="s">
        <v>24</v>
      </c>
      <c r="E156" s="748"/>
      <c r="F156" s="748">
        <v>30</v>
      </c>
      <c r="G156" s="749">
        <v>30</v>
      </c>
      <c r="H156" s="757">
        <v>30</v>
      </c>
      <c r="I156" s="757">
        <v>30</v>
      </c>
      <c r="J156" s="753">
        <f>N157/J157</f>
        <v>0</v>
      </c>
      <c r="K156" s="751"/>
      <c r="L156" s="752"/>
      <c r="M156" s="751">
        <f>N156</f>
        <v>0</v>
      </c>
      <c r="N156" s="748">
        <v>0</v>
      </c>
      <c r="O156" s="751"/>
      <c r="P156" s="748"/>
      <c r="Q156" s="751"/>
      <c r="R156" s="751"/>
      <c r="S156" s="753"/>
      <c r="T156" s="753">
        <f>SUM(N156:Q156)</f>
        <v>0</v>
      </c>
      <c r="U156" s="753"/>
      <c r="V156" s="753"/>
    </row>
    <row r="157" spans="1:29" ht="31.95" customHeight="1" x14ac:dyDescent="0.25">
      <c r="A157" s="865"/>
      <c r="B157" s="867"/>
      <c r="C157" s="669"/>
      <c r="D157" s="754" t="s">
        <v>235</v>
      </c>
      <c r="E157" s="748">
        <v>0</v>
      </c>
      <c r="F157" s="748">
        <f>64*F156</f>
        <v>1920</v>
      </c>
      <c r="G157" s="773">
        <f>14*2*G156-840</f>
        <v>0</v>
      </c>
      <c r="H157" s="793">
        <f>36*2*H156-2160</f>
        <v>0</v>
      </c>
      <c r="I157" s="793">
        <f>36*2*I156-2160</f>
        <v>0</v>
      </c>
      <c r="J157" s="750">
        <v>279.39999999999998</v>
      </c>
      <c r="K157" s="751"/>
      <c r="L157" s="752"/>
      <c r="M157" s="751"/>
      <c r="N157" s="792">
        <f>G157*J157+214-214</f>
        <v>0</v>
      </c>
      <c r="O157" s="751"/>
      <c r="P157" s="748"/>
      <c r="Q157" s="751"/>
      <c r="R157" s="751"/>
      <c r="S157" s="753"/>
      <c r="T157" s="750">
        <f>SUM(N157:Q157)</f>
        <v>0</v>
      </c>
      <c r="U157" s="753">
        <f>H157*J157</f>
        <v>0</v>
      </c>
      <c r="V157" s="753">
        <f>I157*J157</f>
        <v>0</v>
      </c>
    </row>
    <row r="158" spans="1:29" ht="24" customHeight="1" x14ac:dyDescent="0.25">
      <c r="A158" s="690"/>
      <c r="B158" s="686"/>
      <c r="C158" s="423" t="s">
        <v>38</v>
      </c>
      <c r="D158" s="636"/>
      <c r="E158" s="110"/>
      <c r="F158" s="104">
        <v>30</v>
      </c>
      <c r="G158" s="109">
        <v>30</v>
      </c>
      <c r="H158" s="684">
        <v>30</v>
      </c>
      <c r="I158" s="684">
        <v>30</v>
      </c>
      <c r="J158" s="99" t="s">
        <v>26</v>
      </c>
      <c r="K158" s="98" t="s">
        <v>26</v>
      </c>
      <c r="L158" s="101" t="s">
        <v>26</v>
      </c>
      <c r="M158" s="99"/>
      <c r="N158" s="105"/>
      <c r="O158" s="99"/>
      <c r="P158" s="104"/>
      <c r="Q158" s="99"/>
      <c r="R158" s="99"/>
      <c r="S158" s="105"/>
      <c r="T158" s="107"/>
      <c r="U158" s="105"/>
      <c r="V158" s="105"/>
    </row>
    <row r="159" spans="1:29" s="119" customFormat="1" ht="24" customHeight="1" x14ac:dyDescent="0.25">
      <c r="A159" s="96" t="s">
        <v>150</v>
      </c>
      <c r="B159" s="96"/>
      <c r="C159" s="96"/>
      <c r="D159" s="112"/>
      <c r="E159" s="113"/>
      <c r="F159" s="114"/>
      <c r="G159" s="114"/>
      <c r="H159" s="113"/>
      <c r="I159" s="113"/>
      <c r="J159" s="101"/>
      <c r="K159" s="98"/>
      <c r="L159" s="101"/>
      <c r="M159" s="98">
        <f t="shared" si="96"/>
        <v>0</v>
      </c>
      <c r="N159" s="107">
        <f>N160+N174</f>
        <v>21600063.270000003</v>
      </c>
      <c r="O159" s="101">
        <f>O160</f>
        <v>11550943.260000002</v>
      </c>
      <c r="P159" s="101"/>
      <c r="Q159" s="777">
        <f>Q160+Q171</f>
        <v>23561743.039999999</v>
      </c>
      <c r="R159" s="101"/>
      <c r="S159" s="101">
        <f>S172</f>
        <v>3597031.68</v>
      </c>
      <c r="T159" s="101">
        <f>T160+T171+T172+T174</f>
        <v>60309781.250000007</v>
      </c>
      <c r="U159" s="102">
        <f>U160+U171+U172+U174</f>
        <v>60309781.250000007</v>
      </c>
      <c r="V159" s="102">
        <f>V160+V171+V172+V174</f>
        <v>60309781.250000007</v>
      </c>
      <c r="W159" s="119">
        <v>12135022</v>
      </c>
      <c r="X159" s="120">
        <f>W159-Q159</f>
        <v>-11426721.039999999</v>
      </c>
      <c r="Y159" s="119">
        <f>X159/G171</f>
        <v>-64924.551363636361</v>
      </c>
      <c r="AA159" s="119">
        <v>12524345</v>
      </c>
      <c r="AB159" s="120">
        <f>AA159-Q159</f>
        <v>-11037398.039999999</v>
      </c>
      <c r="AC159" s="119">
        <f>AB159/I171</f>
        <v>-62712.488863636361</v>
      </c>
    </row>
    <row r="160" spans="1:29" ht="72.599999999999994" customHeight="1" x14ac:dyDescent="0.25">
      <c r="A160" s="92" t="s">
        <v>127</v>
      </c>
      <c r="B160" s="87" t="s">
        <v>128</v>
      </c>
      <c r="C160" s="87"/>
      <c r="D160" s="636"/>
      <c r="E160" s="110"/>
      <c r="F160" s="104"/>
      <c r="G160" s="104"/>
      <c r="H160" s="110"/>
      <c r="I160" s="110"/>
      <c r="J160" s="99"/>
      <c r="K160" s="98"/>
      <c r="L160" s="99"/>
      <c r="M160" s="98"/>
      <c r="N160" s="98">
        <f>SUM(N161:N170)</f>
        <v>21600063.270000003</v>
      </c>
      <c r="O160" s="98">
        <f t="shared" ref="O160:V160" si="163">SUM(O161:O170)</f>
        <v>11550943.260000002</v>
      </c>
      <c r="P160" s="98">
        <f t="shared" si="163"/>
        <v>0</v>
      </c>
      <c r="Q160" s="373">
        <f t="shared" si="163"/>
        <v>12735796.48</v>
      </c>
      <c r="R160" s="98">
        <f t="shared" si="163"/>
        <v>0</v>
      </c>
      <c r="S160" s="98"/>
      <c r="T160" s="102">
        <f t="shared" si="163"/>
        <v>45886803.010000005</v>
      </c>
      <c r="U160" s="98">
        <f t="shared" si="163"/>
        <v>45886803.010000005</v>
      </c>
      <c r="V160" s="98">
        <f t="shared" si="163"/>
        <v>45886803.010000005</v>
      </c>
      <c r="W160" s="93">
        <v>33911273</v>
      </c>
      <c r="AA160" s="93">
        <f>33911273+U172</f>
        <v>37508304.68</v>
      </c>
      <c r="AB160" s="93">
        <f>U159-AA160</f>
        <v>22801476.570000008</v>
      </c>
    </row>
    <row r="161" spans="1:32" ht="100.2" customHeight="1" x14ac:dyDescent="0.25">
      <c r="A161" s="92"/>
      <c r="B161" s="97" t="s">
        <v>129</v>
      </c>
      <c r="C161" s="92" t="s">
        <v>485</v>
      </c>
      <c r="D161" s="636" t="s">
        <v>130</v>
      </c>
      <c r="E161" s="104">
        <v>39</v>
      </c>
      <c r="F161" s="586">
        <v>23</v>
      </c>
      <c r="G161" s="684">
        <v>23</v>
      </c>
      <c r="H161" s="684">
        <v>23</v>
      </c>
      <c r="I161" s="684">
        <v>23</v>
      </c>
      <c r="J161" s="99">
        <v>62813.1</v>
      </c>
      <c r="K161" s="98">
        <f>46867.01+15095.54</f>
        <v>61962.55</v>
      </c>
      <c r="L161" s="107">
        <v>72362.48</v>
      </c>
      <c r="M161" s="98">
        <f t="shared" si="96"/>
        <v>197138.13</v>
      </c>
      <c r="N161" s="99">
        <f>G161*J161</f>
        <v>1444701.3</v>
      </c>
      <c r="O161" s="98">
        <f>G161*K161</f>
        <v>1425138.6500000001</v>
      </c>
      <c r="P161" s="110"/>
      <c r="Q161" s="99">
        <f>G161*L161</f>
        <v>1664337.0399999998</v>
      </c>
      <c r="R161" s="99"/>
      <c r="S161" s="99"/>
      <c r="T161" s="98">
        <f t="shared" ref="T161:T171" si="164">SUM(N161:Q161)</f>
        <v>4534176.99</v>
      </c>
      <c r="U161" s="98">
        <f>T161</f>
        <v>4534176.99</v>
      </c>
      <c r="V161" s="98">
        <f t="shared" ref="V161:V170" si="165">U161</f>
        <v>4534176.99</v>
      </c>
      <c r="X161" s="93">
        <f>W160-U159</f>
        <v>-26398508.250000007</v>
      </c>
    </row>
    <row r="162" spans="1:32" ht="124.95" customHeight="1" x14ac:dyDescent="0.25">
      <c r="A162" s="92"/>
      <c r="B162" s="97" t="s">
        <v>129</v>
      </c>
      <c r="C162" s="632" t="s">
        <v>303</v>
      </c>
      <c r="D162" s="636" t="s">
        <v>130</v>
      </c>
      <c r="E162" s="104">
        <v>12</v>
      </c>
      <c r="F162" s="586">
        <v>12</v>
      </c>
      <c r="G162" s="684">
        <v>20</v>
      </c>
      <c r="H162" s="684">
        <v>20</v>
      </c>
      <c r="I162" s="684">
        <v>20</v>
      </c>
      <c r="J162" s="99">
        <v>127527.31</v>
      </c>
      <c r="K162" s="98">
        <f>46867.01+15095.54*1.5</f>
        <v>69510.320000000007</v>
      </c>
      <c r="L162" s="107">
        <v>72362.48</v>
      </c>
      <c r="M162" s="98">
        <f t="shared" si="96"/>
        <v>269400.11</v>
      </c>
      <c r="N162" s="99">
        <f>G162*J162</f>
        <v>2550546.2000000002</v>
      </c>
      <c r="O162" s="98">
        <f>G162*K162</f>
        <v>1390206.4000000001</v>
      </c>
      <c r="P162" s="110"/>
      <c r="Q162" s="99">
        <f>G162*L162</f>
        <v>1447249.5999999999</v>
      </c>
      <c r="R162" s="99"/>
      <c r="S162" s="99"/>
      <c r="T162" s="98">
        <f t="shared" si="164"/>
        <v>5388002.2000000002</v>
      </c>
      <c r="U162" s="98">
        <f>T162</f>
        <v>5388002.2000000002</v>
      </c>
      <c r="V162" s="98">
        <f t="shared" si="165"/>
        <v>5388002.2000000002</v>
      </c>
      <c r="X162" s="93"/>
    </row>
    <row r="163" spans="1:32" ht="66.599999999999994" customHeight="1" x14ac:dyDescent="0.25">
      <c r="A163" s="92"/>
      <c r="B163" s="97" t="s">
        <v>340</v>
      </c>
      <c r="C163" s="646"/>
      <c r="D163" s="636" t="s">
        <v>130</v>
      </c>
      <c r="E163" s="104">
        <v>5</v>
      </c>
      <c r="F163" s="586">
        <v>8</v>
      </c>
      <c r="G163" s="684">
        <f>6+1</f>
        <v>7</v>
      </c>
      <c r="H163" s="684">
        <f>5+2</f>
        <v>7</v>
      </c>
      <c r="I163" s="684">
        <f>5+2</f>
        <v>7</v>
      </c>
      <c r="J163" s="99">
        <v>95705.64</v>
      </c>
      <c r="K163" s="98">
        <f>46867.01+15095.54*1.5</f>
        <v>69510.320000000007</v>
      </c>
      <c r="L163" s="107">
        <v>72362.48</v>
      </c>
      <c r="M163" s="98">
        <f t="shared" ref="M163" si="166">J163+K163+L163</f>
        <v>237578.44</v>
      </c>
      <c r="N163" s="98">
        <f t="shared" ref="N163" si="167">G163*J163</f>
        <v>669939.48</v>
      </c>
      <c r="O163" s="98">
        <f>G163*K163+6933.06+260960.38</f>
        <v>754465.68</v>
      </c>
      <c r="P163" s="110"/>
      <c r="Q163" s="99">
        <f t="shared" ref="Q163" si="168">G163*L163</f>
        <v>506537.36</v>
      </c>
      <c r="R163" s="99"/>
      <c r="S163" s="99"/>
      <c r="T163" s="98">
        <f t="shared" ref="T163" si="169">SUM(N163:Q163)</f>
        <v>1930942.52</v>
      </c>
      <c r="U163" s="98">
        <f t="shared" ref="U163" si="170">T163</f>
        <v>1930942.52</v>
      </c>
      <c r="V163" s="98">
        <f t="shared" ref="V163" si="171">U163</f>
        <v>1930942.52</v>
      </c>
      <c r="X163" s="93"/>
    </row>
    <row r="164" spans="1:32" ht="46.2" customHeight="1" x14ac:dyDescent="0.25">
      <c r="A164" s="92"/>
      <c r="B164" s="97" t="s">
        <v>340</v>
      </c>
      <c r="C164" s="634"/>
      <c r="D164" s="636" t="s">
        <v>130</v>
      </c>
      <c r="E164" s="104">
        <v>29</v>
      </c>
      <c r="F164" s="586">
        <v>29</v>
      </c>
      <c r="G164" s="684">
        <v>29</v>
      </c>
      <c r="H164" s="684">
        <v>29</v>
      </c>
      <c r="I164" s="684">
        <v>29</v>
      </c>
      <c r="J164" s="99">
        <v>95705.64</v>
      </c>
      <c r="K164" s="98">
        <f>35180.26+15095.54</f>
        <v>50275.8</v>
      </c>
      <c r="L164" s="107">
        <v>72362.48</v>
      </c>
      <c r="M164" s="98">
        <f t="shared" si="96"/>
        <v>218343.91999999998</v>
      </c>
      <c r="N164" s="98">
        <f>G164*J164</f>
        <v>2775463.56</v>
      </c>
      <c r="O164" s="98">
        <f>G164*K164+6933.06+260960.38-6414.46-36796.16</f>
        <v>1682681.0200000003</v>
      </c>
      <c r="P164" s="110"/>
      <c r="Q164" s="99">
        <f t="shared" ref="Q164" si="172">G164*L164</f>
        <v>2098511.92</v>
      </c>
      <c r="R164" s="99"/>
      <c r="S164" s="99"/>
      <c r="T164" s="98">
        <f t="shared" si="164"/>
        <v>6556656.5</v>
      </c>
      <c r="U164" s="98">
        <f t="shared" ref="U164:U172" si="173">T164</f>
        <v>6556656.5</v>
      </c>
      <c r="V164" s="98">
        <f t="shared" si="165"/>
        <v>6556656.5</v>
      </c>
    </row>
    <row r="165" spans="1:32" ht="24.6" customHeight="1" x14ac:dyDescent="0.25">
      <c r="A165" s="487" t="s">
        <v>537</v>
      </c>
      <c r="B165" s="488" t="s">
        <v>338</v>
      </c>
      <c r="C165" s="634"/>
      <c r="D165" s="636"/>
      <c r="E165" s="104">
        <v>1</v>
      </c>
      <c r="F165" s="586">
        <v>1</v>
      </c>
      <c r="G165" s="109">
        <v>1</v>
      </c>
      <c r="H165" s="109">
        <v>1</v>
      </c>
      <c r="I165" s="109">
        <v>1</v>
      </c>
      <c r="J165" s="376">
        <v>95705.64</v>
      </c>
      <c r="K165" s="376">
        <f>35180.26+15095.54</f>
        <v>50275.8</v>
      </c>
      <c r="L165" s="107">
        <v>72362.48</v>
      </c>
      <c r="M165" s="376">
        <f t="shared" si="96"/>
        <v>218343.91999999998</v>
      </c>
      <c r="N165" s="376">
        <f>G165*J165</f>
        <v>95705.64</v>
      </c>
      <c r="O165" s="376">
        <f>G165*K165</f>
        <v>50275.8</v>
      </c>
      <c r="P165" s="375"/>
      <c r="Q165" s="376">
        <f>G165*L165</f>
        <v>72362.48</v>
      </c>
      <c r="R165" s="99"/>
      <c r="S165" s="99"/>
      <c r="T165" s="376">
        <f t="shared" si="164"/>
        <v>218343.91999999998</v>
      </c>
      <c r="U165" s="376">
        <f>T165</f>
        <v>218343.91999999998</v>
      </c>
      <c r="V165" s="376">
        <f>U165</f>
        <v>218343.91999999998</v>
      </c>
    </row>
    <row r="166" spans="1:32" ht="27" customHeight="1" x14ac:dyDescent="0.25">
      <c r="A166" s="97"/>
      <c r="B166" s="97" t="s">
        <v>338</v>
      </c>
      <c r="C166" s="633"/>
      <c r="D166" s="636" t="s">
        <v>130</v>
      </c>
      <c r="E166" s="104">
        <v>77</v>
      </c>
      <c r="F166" s="586">
        <v>60</v>
      </c>
      <c r="G166" s="684">
        <v>53</v>
      </c>
      <c r="H166" s="684">
        <v>53</v>
      </c>
      <c r="I166" s="684">
        <v>53</v>
      </c>
      <c r="J166" s="108">
        <v>95705.64</v>
      </c>
      <c r="K166" s="98">
        <f>35180.26+15095.54</f>
        <v>50275.8</v>
      </c>
      <c r="L166" s="107">
        <v>72362.48</v>
      </c>
      <c r="M166" s="98">
        <f t="shared" si="96"/>
        <v>218343.91999999998</v>
      </c>
      <c r="N166" s="98">
        <f>G166*J166</f>
        <v>5072398.92</v>
      </c>
      <c r="O166" s="98">
        <f>G166*K166</f>
        <v>2664617.4000000004</v>
      </c>
      <c r="P166" s="110"/>
      <c r="Q166" s="99">
        <f>G166*L166</f>
        <v>3835211.44</v>
      </c>
      <c r="R166" s="99"/>
      <c r="S166" s="99"/>
      <c r="T166" s="98">
        <f t="shared" si="164"/>
        <v>11572227.76</v>
      </c>
      <c r="U166" s="98">
        <f t="shared" si="173"/>
        <v>11572227.76</v>
      </c>
      <c r="V166" s="98">
        <f t="shared" si="165"/>
        <v>11572227.76</v>
      </c>
    </row>
    <row r="167" spans="1:32" s="84" customFormat="1" ht="21" hidden="1" customHeight="1" x14ac:dyDescent="0.25">
      <c r="A167" s="636"/>
      <c r="B167" s="112" t="s">
        <v>138</v>
      </c>
      <c r="C167" s="636" t="s">
        <v>54</v>
      </c>
      <c r="D167" s="636" t="s">
        <v>130</v>
      </c>
      <c r="E167" s="104">
        <v>0</v>
      </c>
      <c r="F167" s="104">
        <v>0</v>
      </c>
      <c r="G167" s="104">
        <f t="shared" ref="G167:G169" si="174">((E167*8)+(F167*4))/12</f>
        <v>0</v>
      </c>
      <c r="H167" s="104">
        <v>0</v>
      </c>
      <c r="I167" s="104">
        <v>0</v>
      </c>
      <c r="J167" s="108">
        <v>95706.64</v>
      </c>
      <c r="K167" s="98">
        <f t="shared" ref="K167:K169" si="175">25496.5+13866.12</f>
        <v>39362.620000000003</v>
      </c>
      <c r="L167" s="107">
        <v>72362.48</v>
      </c>
      <c r="M167" s="98">
        <f t="shared" si="96"/>
        <v>207431.74</v>
      </c>
      <c r="N167" s="98">
        <f t="shared" ref="N167:N170" si="176">G167*J167</f>
        <v>0</v>
      </c>
      <c r="O167" s="98">
        <f t="shared" ref="O167:O169" si="177">G167*K167</f>
        <v>0</v>
      </c>
      <c r="P167" s="110"/>
      <c r="Q167" s="99">
        <f t="shared" ref="Q167:Q170" si="178">G167*L167</f>
        <v>0</v>
      </c>
      <c r="R167" s="99"/>
      <c r="S167" s="99"/>
      <c r="T167" s="98">
        <f t="shared" ref="T167:T170" si="179">SUM(N167:Q167)</f>
        <v>0</v>
      </c>
      <c r="U167" s="98">
        <f t="shared" si="173"/>
        <v>0</v>
      </c>
      <c r="V167" s="98">
        <f t="shared" si="165"/>
        <v>0</v>
      </c>
      <c r="AD167" s="83"/>
      <c r="AE167" s="83"/>
      <c r="AF167" s="83"/>
    </row>
    <row r="168" spans="1:32" ht="39" hidden="1" customHeight="1" x14ac:dyDescent="0.25">
      <c r="A168" s="97"/>
      <c r="B168" s="87" t="s">
        <v>139</v>
      </c>
      <c r="C168" s="97" t="s">
        <v>44</v>
      </c>
      <c r="D168" s="636" t="s">
        <v>130</v>
      </c>
      <c r="E168" s="104">
        <v>0</v>
      </c>
      <c r="F168" s="104">
        <v>0</v>
      </c>
      <c r="G168" s="104">
        <f t="shared" si="174"/>
        <v>0</v>
      </c>
      <c r="H168" s="104">
        <v>0</v>
      </c>
      <c r="I168" s="104">
        <v>0</v>
      </c>
      <c r="J168" s="108">
        <v>95707.64</v>
      </c>
      <c r="K168" s="98">
        <f t="shared" si="175"/>
        <v>39362.620000000003</v>
      </c>
      <c r="L168" s="107">
        <v>72362.48</v>
      </c>
      <c r="M168" s="98">
        <f t="shared" si="96"/>
        <v>207432.74</v>
      </c>
      <c r="N168" s="98">
        <f t="shared" si="176"/>
        <v>0</v>
      </c>
      <c r="O168" s="98">
        <f t="shared" si="177"/>
        <v>0</v>
      </c>
      <c r="P168" s="110"/>
      <c r="Q168" s="99">
        <f t="shared" si="178"/>
        <v>0</v>
      </c>
      <c r="R168" s="99"/>
      <c r="S168" s="99"/>
      <c r="T168" s="98">
        <f t="shared" si="179"/>
        <v>0</v>
      </c>
      <c r="U168" s="98">
        <f t="shared" si="173"/>
        <v>0</v>
      </c>
      <c r="V168" s="98">
        <f t="shared" si="165"/>
        <v>0</v>
      </c>
    </row>
    <row r="169" spans="1:32" ht="24.6" hidden="1" customHeight="1" x14ac:dyDescent="0.25">
      <c r="A169" s="97"/>
      <c r="B169" s="87" t="s">
        <v>140</v>
      </c>
      <c r="C169" s="97"/>
      <c r="D169" s="636" t="s">
        <v>130</v>
      </c>
      <c r="E169" s="104">
        <v>0</v>
      </c>
      <c r="F169" s="104">
        <v>0</v>
      </c>
      <c r="G169" s="104">
        <f t="shared" si="174"/>
        <v>0</v>
      </c>
      <c r="H169" s="104">
        <v>0</v>
      </c>
      <c r="I169" s="104">
        <v>0</v>
      </c>
      <c r="J169" s="108">
        <v>95708.64</v>
      </c>
      <c r="K169" s="98">
        <f t="shared" si="175"/>
        <v>39362.620000000003</v>
      </c>
      <c r="L169" s="107">
        <v>72362.48</v>
      </c>
      <c r="M169" s="98">
        <f t="shared" si="96"/>
        <v>207433.74</v>
      </c>
      <c r="N169" s="98">
        <f t="shared" si="176"/>
        <v>0</v>
      </c>
      <c r="O169" s="98">
        <f t="shared" si="177"/>
        <v>0</v>
      </c>
      <c r="P169" s="110"/>
      <c r="Q169" s="99">
        <f t="shared" si="178"/>
        <v>0</v>
      </c>
      <c r="R169" s="99"/>
      <c r="S169" s="99"/>
      <c r="T169" s="98">
        <f t="shared" si="179"/>
        <v>0</v>
      </c>
      <c r="U169" s="98">
        <f t="shared" si="173"/>
        <v>0</v>
      </c>
      <c r="V169" s="98">
        <f t="shared" si="165"/>
        <v>0</v>
      </c>
    </row>
    <row r="170" spans="1:32" ht="110.4" customHeight="1" x14ac:dyDescent="0.25">
      <c r="A170" s="97"/>
      <c r="B170" s="97" t="s">
        <v>340</v>
      </c>
      <c r="C170" s="92" t="s">
        <v>455</v>
      </c>
      <c r="D170" s="636" t="s">
        <v>130</v>
      </c>
      <c r="E170" s="104">
        <v>20</v>
      </c>
      <c r="F170" s="586">
        <v>43</v>
      </c>
      <c r="G170" s="684">
        <v>43</v>
      </c>
      <c r="H170" s="684">
        <v>43</v>
      </c>
      <c r="I170" s="684">
        <v>43</v>
      </c>
      <c r="J170" s="108">
        <v>209100.19</v>
      </c>
      <c r="K170" s="98">
        <f>70240.51+15095.54*2</f>
        <v>100431.59</v>
      </c>
      <c r="L170" s="107">
        <v>72362.48</v>
      </c>
      <c r="M170" s="98">
        <f t="shared" si="96"/>
        <v>381894.26</v>
      </c>
      <c r="N170" s="99">
        <f t="shared" si="176"/>
        <v>8991308.1699999999</v>
      </c>
      <c r="O170" s="98">
        <f>G170*K170-531349.72-203650.34</f>
        <v>3583558.3100000005</v>
      </c>
      <c r="P170" s="110"/>
      <c r="Q170" s="99">
        <f t="shared" si="178"/>
        <v>3111586.6399999997</v>
      </c>
      <c r="R170" s="99"/>
      <c r="S170" s="99"/>
      <c r="T170" s="98">
        <f t="shared" si="179"/>
        <v>15686453.120000001</v>
      </c>
      <c r="U170" s="98">
        <f t="shared" si="173"/>
        <v>15686453.120000001</v>
      </c>
      <c r="V170" s="98">
        <f t="shared" si="165"/>
        <v>15686453.120000001</v>
      </c>
    </row>
    <row r="171" spans="1:32" ht="62.4" customHeight="1" x14ac:dyDescent="0.25">
      <c r="A171" s="92" t="s">
        <v>133</v>
      </c>
      <c r="B171" s="97" t="s">
        <v>134</v>
      </c>
      <c r="C171" s="97" t="s">
        <v>54</v>
      </c>
      <c r="D171" s="636" t="s">
        <v>130</v>
      </c>
      <c r="E171" s="104">
        <f>E161+E164+E166+E162+E170+E165+E163</f>
        <v>183</v>
      </c>
      <c r="F171" s="683">
        <f>F161+F164+F166+F162+F170+F165+F163</f>
        <v>176</v>
      </c>
      <c r="G171" s="114">
        <f>G161+G164+G166+G162+G170+G165+G163</f>
        <v>176</v>
      </c>
      <c r="H171" s="114">
        <f t="shared" ref="H171:I171" si="180">H161+H164+H166+H162+H170+H165+H163</f>
        <v>176</v>
      </c>
      <c r="I171" s="114">
        <f t="shared" si="180"/>
        <v>176</v>
      </c>
      <c r="J171" s="99">
        <v>0</v>
      </c>
      <c r="K171" s="98">
        <v>0</v>
      </c>
      <c r="L171" s="107">
        <v>61511.06</v>
      </c>
      <c r="M171" s="98">
        <f t="shared" si="96"/>
        <v>61511.06</v>
      </c>
      <c r="N171" s="98">
        <f>G171*J171</f>
        <v>0</v>
      </c>
      <c r="O171" s="98">
        <f>G171*K171</f>
        <v>0</v>
      </c>
      <c r="P171" s="110"/>
      <c r="Q171" s="107">
        <f>G171*L171</f>
        <v>10825946.559999999</v>
      </c>
      <c r="R171" s="101"/>
      <c r="S171" s="101"/>
      <c r="T171" s="102">
        <f t="shared" si="164"/>
        <v>10825946.559999999</v>
      </c>
      <c r="U171" s="98">
        <f t="shared" si="173"/>
        <v>10825946.559999999</v>
      </c>
      <c r="V171" s="98">
        <f>U171</f>
        <v>10825946.559999999</v>
      </c>
    </row>
    <row r="172" spans="1:32" ht="27.6" customHeight="1" x14ac:dyDescent="0.25">
      <c r="A172" s="490" t="s">
        <v>476</v>
      </c>
      <c r="B172" s="97" t="s">
        <v>134</v>
      </c>
      <c r="C172" s="97" t="s">
        <v>135</v>
      </c>
      <c r="D172" s="636"/>
      <c r="E172" s="110"/>
      <c r="F172" s="104"/>
      <c r="G172" s="114">
        <f>G171</f>
        <v>176</v>
      </c>
      <c r="H172" s="114">
        <f>H171</f>
        <v>176</v>
      </c>
      <c r="I172" s="114">
        <f>I171</f>
        <v>176</v>
      </c>
      <c r="J172" s="99"/>
      <c r="K172" s="98"/>
      <c r="L172" s="107">
        <v>20437.68</v>
      </c>
      <c r="M172" s="98">
        <f t="shared" si="96"/>
        <v>20437.68</v>
      </c>
      <c r="N172" s="110"/>
      <c r="O172" s="98"/>
      <c r="P172" s="110"/>
      <c r="Q172" s="101"/>
      <c r="R172" s="101"/>
      <c r="S172" s="107">
        <f>G172*L172</f>
        <v>3597031.68</v>
      </c>
      <c r="T172" s="102">
        <f>S172</f>
        <v>3597031.68</v>
      </c>
      <c r="U172" s="98">
        <f t="shared" si="173"/>
        <v>3597031.68</v>
      </c>
      <c r="V172" s="98">
        <f>U172</f>
        <v>3597031.68</v>
      </c>
    </row>
    <row r="173" spans="1:32" ht="27.6" customHeight="1" x14ac:dyDescent="0.25">
      <c r="A173" s="864" t="s">
        <v>536</v>
      </c>
      <c r="B173" s="866" t="s">
        <v>530</v>
      </c>
      <c r="C173" s="669"/>
      <c r="D173" s="747" t="s">
        <v>24</v>
      </c>
      <c r="E173" s="748"/>
      <c r="F173" s="748">
        <v>20</v>
      </c>
      <c r="G173" s="749">
        <v>20</v>
      </c>
      <c r="H173" s="757">
        <v>20</v>
      </c>
      <c r="I173" s="757">
        <v>20</v>
      </c>
      <c r="J173" s="753">
        <f>N174/J174</f>
        <v>0</v>
      </c>
      <c r="K173" s="751"/>
      <c r="L173" s="752"/>
      <c r="M173" s="751">
        <f>N173</f>
        <v>0</v>
      </c>
      <c r="N173" s="748">
        <v>0</v>
      </c>
      <c r="O173" s="751"/>
      <c r="P173" s="748"/>
      <c r="Q173" s="751"/>
      <c r="R173" s="751"/>
      <c r="S173" s="753"/>
      <c r="T173" s="753">
        <f>SUM(N173:Q173)</f>
        <v>0</v>
      </c>
      <c r="U173" s="753"/>
      <c r="V173" s="753"/>
    </row>
    <row r="174" spans="1:32" ht="27.6" customHeight="1" x14ac:dyDescent="0.25">
      <c r="A174" s="865"/>
      <c r="B174" s="867"/>
      <c r="C174" s="669"/>
      <c r="D174" s="754" t="s">
        <v>235</v>
      </c>
      <c r="E174" s="748">
        <v>0</v>
      </c>
      <c r="F174" s="748">
        <f>26*F173</f>
        <v>520</v>
      </c>
      <c r="G174" s="773">
        <f>12*2*G173-480</f>
        <v>0</v>
      </c>
      <c r="H174" s="793">
        <f>36*2*H173-1440</f>
        <v>0</v>
      </c>
      <c r="I174" s="793">
        <f>36*2*I173-1440</f>
        <v>0</v>
      </c>
      <c r="J174" s="750">
        <v>279.39999999999998</v>
      </c>
      <c r="K174" s="751"/>
      <c r="L174" s="752"/>
      <c r="M174" s="751"/>
      <c r="N174" s="792">
        <f>G174*J174+215-215</f>
        <v>0</v>
      </c>
      <c r="O174" s="751"/>
      <c r="P174" s="748"/>
      <c r="Q174" s="751"/>
      <c r="R174" s="751"/>
      <c r="S174" s="753"/>
      <c r="T174" s="750">
        <f>SUM(N174:Q174)</f>
        <v>0</v>
      </c>
      <c r="U174" s="753">
        <f>H174*J174</f>
        <v>0</v>
      </c>
      <c r="V174" s="753">
        <f>I174*J174</f>
        <v>0</v>
      </c>
    </row>
    <row r="175" spans="1:32" ht="27.6" customHeight="1" x14ac:dyDescent="0.25">
      <c r="A175" s="690"/>
      <c r="B175" s="686"/>
      <c r="C175" s="423" t="s">
        <v>38</v>
      </c>
      <c r="D175" s="636"/>
      <c r="E175" s="110"/>
      <c r="F175" s="104">
        <v>20</v>
      </c>
      <c r="G175" s="109">
        <v>20</v>
      </c>
      <c r="H175" s="684">
        <v>20</v>
      </c>
      <c r="I175" s="684">
        <v>20</v>
      </c>
      <c r="J175" s="105" t="s">
        <v>26</v>
      </c>
      <c r="K175" s="98" t="s">
        <v>26</v>
      </c>
      <c r="L175" s="101" t="s">
        <v>26</v>
      </c>
      <c r="M175" s="99"/>
      <c r="N175" s="105"/>
      <c r="O175" s="99"/>
      <c r="P175" s="104"/>
      <c r="Q175" s="99"/>
      <c r="R175" s="99"/>
      <c r="S175" s="105"/>
      <c r="T175" s="107"/>
      <c r="U175" s="105"/>
      <c r="V175" s="105"/>
    </row>
    <row r="176" spans="1:32" ht="30.6" customHeight="1" x14ac:dyDescent="0.25">
      <c r="A176" s="628" t="s">
        <v>151</v>
      </c>
      <c r="B176" s="629"/>
      <c r="C176" s="629"/>
      <c r="D176" s="629"/>
      <c r="E176" s="629"/>
      <c r="F176" s="629"/>
      <c r="G176" s="656">
        <f>G172+G155+G143+G130+G98+G82+G67+G54+G40+G23</f>
        <v>1061</v>
      </c>
      <c r="H176" s="629"/>
      <c r="I176" s="629"/>
      <c r="J176" s="629"/>
      <c r="K176" s="629"/>
      <c r="L176" s="629"/>
      <c r="M176" s="630"/>
      <c r="N176" s="101">
        <f>N12+N26+N41+N55+N68+N86+N99+N134+N144+N159</f>
        <v>128754296.28999999</v>
      </c>
      <c r="O176" s="101">
        <f>O12+O26+O41+O55+O68+O86+O99+O134+O144+O159</f>
        <v>71073518.894999996</v>
      </c>
      <c r="P176" s="101" t="e">
        <f>P12+P26+#REF!+P41+P55+P68+P86+P99+P134+P144+P159+1</f>
        <v>#REF!</v>
      </c>
      <c r="Q176" s="107">
        <f>Q12+Q26+Q41+Q55+Q68+Q86+Q99+Q134+Q144+Q159</f>
        <v>150482499.25</v>
      </c>
      <c r="R176" s="101" t="e">
        <f>R12+R26+#REF!+R41+R55+R68+R86+R99+R134+R144+R159+1</f>
        <v>#REF!</v>
      </c>
      <c r="S176" s="107">
        <f>S12+S26+S41+S55+S68+S86+S99+S134+S144+S159</f>
        <v>21684378.48</v>
      </c>
      <c r="T176" s="101">
        <f>T12+T26+T41+T55+T68+T86+T99+T134+T144+T159</f>
        <v>371994694.83500004</v>
      </c>
      <c r="U176" s="102">
        <f>U12+U26+U41+U55+U68+U86+U99+U134+U144+U159</f>
        <v>372795375.40499997</v>
      </c>
      <c r="V176" s="102">
        <f>V12+V26+V41+V55+V68+V86+V99+V134+V144+V159</f>
        <v>372795375.40499997</v>
      </c>
      <c r="W176" s="93"/>
    </row>
    <row r="177" spans="1:22" ht="15" customHeight="1" x14ac:dyDescent="0.25">
      <c r="A177" s="83" t="s">
        <v>152</v>
      </c>
      <c r="C177" s="121"/>
      <c r="D177" s="122"/>
      <c r="E177" s="122"/>
      <c r="F177" s="121"/>
      <c r="G177" s="121"/>
      <c r="H177" s="122"/>
      <c r="I177" s="122"/>
      <c r="J177" s="121"/>
      <c r="K177" s="122"/>
      <c r="L177" s="121"/>
      <c r="M177" s="122"/>
      <c r="N177" s="123"/>
      <c r="O177" s="123"/>
      <c r="P177" s="123"/>
      <c r="Q177" s="124" t="e">
        <f>#REF!+#REF!+#REF!+#REF!+#REF!+#REF!+#REF!+#REF!+#REF!+#REF!+#REF!</f>
        <v>#REF!</v>
      </c>
      <c r="R177" s="125"/>
      <c r="S177" s="125"/>
      <c r="T177" s="126" t="e">
        <f>#REF!+#REF!+#REF!+#REF!+#REF!+#REF!+#REF!+#REF!+#REF!+#REF!+#REF!</f>
        <v>#REF!</v>
      </c>
      <c r="U177" s="122"/>
      <c r="V177" s="123"/>
    </row>
    <row r="178" spans="1:22" ht="16.2" customHeight="1" x14ac:dyDescent="0.25">
      <c r="A178" s="83" t="s">
        <v>78</v>
      </c>
      <c r="N178" s="127"/>
      <c r="P178" s="128"/>
      <c r="Q178" s="93"/>
      <c r="U178" s="128"/>
      <c r="V178" s="123"/>
    </row>
    <row r="182" spans="1:22" ht="21" customHeight="1" x14ac:dyDescent="0.25"/>
    <row r="185" spans="1:22" hidden="1" x14ac:dyDescent="0.25">
      <c r="M185" s="790" t="s">
        <v>611</v>
      </c>
      <c r="N185" s="791">
        <f>N174+N157+N132+N84</f>
        <v>0</v>
      </c>
      <c r="Q185" s="93">
        <f>Q13+Q27+Q42+Q56+Q69+Q87+Q100+Q135+Q145+Q160-1.45</f>
        <v>80435608.459999993</v>
      </c>
      <c r="S185" s="83" t="s">
        <v>610</v>
      </c>
    </row>
    <row r="186" spans="1:22" hidden="1" x14ac:dyDescent="0.25">
      <c r="Q186" s="93">
        <f>Q22+Q39+Q53+Q66+Q81+Q97+Q129+Q142+Q154+Q171</f>
        <v>70046891.260000005</v>
      </c>
      <c r="S186" s="83" t="s">
        <v>609</v>
      </c>
    </row>
    <row r="187" spans="1:22" hidden="1" x14ac:dyDescent="0.25">
      <c r="Q187" s="93">
        <f>Q186+Q185</f>
        <v>150482499.72</v>
      </c>
    </row>
    <row r="188" spans="1:22" hidden="1" x14ac:dyDescent="0.25">
      <c r="S188" s="93"/>
    </row>
    <row r="189" spans="1:22" hidden="1" x14ac:dyDescent="0.25">
      <c r="Q189" s="93">
        <f>Q187-Q176</f>
        <v>0.4699999988079071</v>
      </c>
    </row>
  </sheetData>
  <mergeCells count="36">
    <mergeCell ref="C101:C102"/>
    <mergeCell ref="C119:C124"/>
    <mergeCell ref="C125:C128"/>
    <mergeCell ref="A5:V5"/>
    <mergeCell ref="C16:C21"/>
    <mergeCell ref="C14:C15"/>
    <mergeCell ref="C28:C29"/>
    <mergeCell ref="C30:C31"/>
    <mergeCell ref="E9:I9"/>
    <mergeCell ref="J9:M9"/>
    <mergeCell ref="N9:V9"/>
    <mergeCell ref="B83:B84"/>
    <mergeCell ref="A83:A84"/>
    <mergeCell ref="N10:T10"/>
    <mergeCell ref="C137:C141"/>
    <mergeCell ref="C147:C153"/>
    <mergeCell ref="C32:C35"/>
    <mergeCell ref="C43:C44"/>
    <mergeCell ref="C45:C46"/>
    <mergeCell ref="C47:C49"/>
    <mergeCell ref="C59:C63"/>
    <mergeCell ref="C70:C71"/>
    <mergeCell ref="C79:C80"/>
    <mergeCell ref="C73:C75"/>
    <mergeCell ref="C90:C92"/>
    <mergeCell ref="C103:C112"/>
    <mergeCell ref="C77:C78"/>
    <mergeCell ref="C95:C96"/>
    <mergeCell ref="C113:C116"/>
    <mergeCell ref="C117:C118"/>
    <mergeCell ref="A131:A132"/>
    <mergeCell ref="B131:B132"/>
    <mergeCell ref="A156:A157"/>
    <mergeCell ref="B156:B157"/>
    <mergeCell ref="A173:A174"/>
    <mergeCell ref="B173:B174"/>
  </mergeCells>
  <pageMargins left="0.39370078740157483" right="0" top="0" bottom="0" header="0.31496062992125984" footer="0.31496062992125984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AT39"/>
  <sheetViews>
    <sheetView topLeftCell="A10" zoomScale="81" zoomScaleNormal="81" workbookViewId="0">
      <selection activeCell="I31" sqref="I31"/>
    </sheetView>
  </sheetViews>
  <sheetFormatPr defaultColWidth="8.88671875" defaultRowHeight="13.8" x14ac:dyDescent="0.25"/>
  <cols>
    <col min="1" max="1" width="17.5546875" style="48" customWidth="1"/>
    <col min="2" max="2" width="14.5546875" style="48" customWidth="1"/>
    <col min="3" max="3" width="8.5546875" style="48" hidden="1" customWidth="1"/>
    <col min="4" max="4" width="14.44140625" style="48" customWidth="1"/>
    <col min="5" max="5" width="14.6640625" style="48" customWidth="1"/>
    <col min="6" max="6" width="15.5546875" style="48" customWidth="1"/>
    <col min="7" max="7" width="15.109375" style="129" customWidth="1"/>
    <col min="8" max="8" width="8.88671875" style="129" hidden="1" customWidth="1"/>
    <col min="9" max="9" width="15.33203125" style="48" bestFit="1" customWidth="1"/>
    <col min="10" max="10" width="15" style="48" customWidth="1"/>
    <col min="11" max="12" width="14.88671875" style="48" customWidth="1"/>
    <col min="13" max="13" width="16.33203125" style="48" customWidth="1"/>
    <col min="14" max="14" width="15.6640625" style="48" customWidth="1"/>
    <col min="15" max="15" width="0" style="48" hidden="1" customWidth="1"/>
    <col min="16" max="16" width="8.88671875" style="49"/>
    <col min="17" max="17" width="0" style="49" hidden="1" customWidth="1"/>
    <col min="18" max="19" width="8.88671875" style="49"/>
    <col min="20" max="20" width="15.109375" style="48" customWidth="1"/>
    <col min="21" max="21" width="9.109375" style="48" hidden="1" customWidth="1"/>
    <col min="22" max="22" width="13.6640625" style="48" customWidth="1"/>
    <col min="23" max="25" width="14.6640625" style="48" customWidth="1"/>
    <col min="26" max="29" width="16.6640625" style="48" customWidth="1"/>
    <col min="30" max="30" width="17.5546875" style="129" customWidth="1"/>
    <col min="31" max="31" width="14" style="48" hidden="1" customWidth="1"/>
    <col min="32" max="33" width="15.6640625" style="48" hidden="1" customWidth="1"/>
    <col min="34" max="34" width="17.33203125" style="48" hidden="1" customWidth="1"/>
    <col min="35" max="35" width="17.88671875" style="48" hidden="1" customWidth="1"/>
    <col min="36" max="36" width="17.33203125" style="48" customWidth="1"/>
    <col min="37" max="37" width="18" style="48" customWidth="1"/>
    <col min="38" max="38" width="17.6640625" style="48" hidden="1" customWidth="1"/>
    <col min="39" max="40" width="8.88671875" style="48"/>
    <col min="41" max="41" width="12.5546875" style="48" hidden="1" customWidth="1"/>
    <col min="42" max="16384" width="8.88671875" style="48"/>
  </cols>
  <sheetData>
    <row r="2" spans="1:46" x14ac:dyDescent="0.25">
      <c r="AB2" s="844" t="s">
        <v>88</v>
      </c>
      <c r="AC2" s="844"/>
    </row>
    <row r="3" spans="1:46" x14ac:dyDescent="0.25">
      <c r="AB3" s="845" t="s">
        <v>628</v>
      </c>
      <c r="AC3" s="845"/>
    </row>
    <row r="4" spans="1:46" x14ac:dyDescent="0.25">
      <c r="A4" s="130"/>
      <c r="B4" s="130"/>
      <c r="C4" s="130"/>
      <c r="D4" s="130"/>
      <c r="E4" s="130"/>
      <c r="F4" s="130"/>
      <c r="G4" s="131"/>
      <c r="H4" s="131"/>
      <c r="I4" s="130"/>
      <c r="J4" s="130"/>
      <c r="K4" s="130"/>
      <c r="L4" s="130"/>
      <c r="M4" s="130"/>
      <c r="N4" s="130"/>
      <c r="O4" s="130"/>
      <c r="P4" s="132"/>
      <c r="Q4" s="132"/>
      <c r="R4" s="132"/>
      <c r="S4" s="132"/>
      <c r="T4" s="130"/>
      <c r="U4" s="130"/>
      <c r="V4" s="130"/>
      <c r="W4" s="130"/>
      <c r="X4" s="130"/>
      <c r="Y4" s="130"/>
      <c r="AD4" s="904"/>
      <c r="AE4" s="904"/>
      <c r="AF4" s="904"/>
      <c r="AG4" s="904"/>
      <c r="AH4" s="904"/>
      <c r="AI4" s="904"/>
      <c r="AJ4" s="904"/>
    </row>
    <row r="5" spans="1:46" ht="18" x14ac:dyDescent="0.35">
      <c r="A5" s="905" t="s">
        <v>597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AD5" s="48"/>
    </row>
    <row r="6" spans="1:46" x14ac:dyDescent="0.25">
      <c r="A6" s="906" t="s">
        <v>153</v>
      </c>
      <c r="B6" s="906"/>
      <c r="C6" s="906"/>
      <c r="D6" s="906"/>
      <c r="E6" s="906"/>
      <c r="F6" s="133"/>
      <c r="G6" s="134"/>
      <c r="H6" s="134"/>
      <c r="I6" s="133"/>
      <c r="J6" s="133"/>
      <c r="K6" s="133"/>
      <c r="L6" s="133"/>
      <c r="M6" s="133"/>
      <c r="N6" s="135"/>
      <c r="O6" s="135"/>
      <c r="P6" s="136"/>
      <c r="Q6" s="136"/>
      <c r="R6" s="136"/>
      <c r="S6" s="136"/>
      <c r="T6" s="133"/>
      <c r="U6" s="133"/>
      <c r="V6" s="133"/>
      <c r="W6" s="133"/>
      <c r="X6" s="133"/>
      <c r="Y6" s="135"/>
      <c r="Z6" s="133"/>
      <c r="AA6" s="133"/>
      <c r="AB6" s="133"/>
      <c r="AC6" s="133"/>
      <c r="AD6" s="134"/>
    </row>
    <row r="7" spans="1:46" ht="78" customHeight="1" x14ac:dyDescent="0.25">
      <c r="A7" s="902" t="s">
        <v>2</v>
      </c>
      <c r="B7" s="897" t="s">
        <v>8</v>
      </c>
      <c r="C7" s="898"/>
      <c r="D7" s="898"/>
      <c r="E7" s="899"/>
      <c r="F7" s="907" t="s">
        <v>154</v>
      </c>
      <c r="G7" s="897" t="s">
        <v>155</v>
      </c>
      <c r="H7" s="898"/>
      <c r="I7" s="898"/>
      <c r="J7" s="898"/>
      <c r="K7" s="898"/>
      <c r="L7" s="898"/>
      <c r="M7" s="898"/>
      <c r="N7" s="898"/>
      <c r="O7" s="137"/>
      <c r="P7" s="859" t="s">
        <v>598</v>
      </c>
      <c r="Q7" s="860"/>
      <c r="R7" s="860"/>
      <c r="S7" s="861"/>
      <c r="T7" s="897" t="s">
        <v>345</v>
      </c>
      <c r="U7" s="898"/>
      <c r="V7" s="898"/>
      <c r="W7" s="898"/>
      <c r="X7" s="898"/>
      <c r="Y7" s="898"/>
      <c r="Z7" s="898"/>
      <c r="AA7" s="898"/>
      <c r="AB7" s="899"/>
      <c r="AC7" s="916" t="s">
        <v>169</v>
      </c>
      <c r="AD7" s="138" t="s">
        <v>345</v>
      </c>
      <c r="AE7" s="909" t="s">
        <v>137</v>
      </c>
      <c r="AF7" s="909" t="s">
        <v>128</v>
      </c>
      <c r="AG7" s="913" t="s">
        <v>156</v>
      </c>
      <c r="AH7" s="913" t="s">
        <v>157</v>
      </c>
      <c r="AI7" s="909" t="s">
        <v>2</v>
      </c>
      <c r="AJ7" s="139" t="s">
        <v>445</v>
      </c>
      <c r="AK7" s="139" t="s">
        <v>599</v>
      </c>
      <c r="AL7" s="902" t="s">
        <v>2</v>
      </c>
      <c r="AM7" s="140"/>
      <c r="AN7" s="140"/>
      <c r="AO7" s="140"/>
      <c r="AP7" s="140"/>
      <c r="AQ7" s="140"/>
      <c r="AR7" s="140"/>
      <c r="AS7" s="140"/>
    </row>
    <row r="8" spans="1:46" ht="31.2" customHeight="1" x14ac:dyDescent="0.25">
      <c r="A8" s="903"/>
      <c r="B8" s="501"/>
      <c r="C8" s="737"/>
      <c r="D8" s="501"/>
      <c r="E8" s="501"/>
      <c r="F8" s="907"/>
      <c r="G8" s="897" t="s">
        <v>158</v>
      </c>
      <c r="H8" s="898"/>
      <c r="I8" s="899"/>
      <c r="J8" s="903" t="s">
        <v>159</v>
      </c>
      <c r="K8" s="903"/>
      <c r="L8" s="903"/>
      <c r="M8" s="903"/>
      <c r="N8" s="501"/>
      <c r="O8" s="502"/>
      <c r="T8" s="900" t="s">
        <v>308</v>
      </c>
      <c r="U8" s="738"/>
      <c r="V8" s="900" t="s">
        <v>307</v>
      </c>
      <c r="W8" s="900" t="s">
        <v>168</v>
      </c>
      <c r="X8" s="897" t="s">
        <v>290</v>
      </c>
      <c r="Y8" s="899"/>
      <c r="Z8" s="912" t="s">
        <v>306</v>
      </c>
      <c r="AA8" s="910" t="s">
        <v>291</v>
      </c>
      <c r="AB8" s="911"/>
      <c r="AC8" s="917"/>
      <c r="AD8" s="141"/>
      <c r="AE8" s="909"/>
      <c r="AF8" s="909"/>
      <c r="AG8" s="914"/>
      <c r="AH8" s="914"/>
      <c r="AI8" s="909"/>
      <c r="AJ8" s="345"/>
      <c r="AK8" s="142"/>
      <c r="AL8" s="903"/>
      <c r="AM8" s="143"/>
    </row>
    <row r="9" spans="1:46" ht="134.4" customHeight="1" x14ac:dyDescent="0.25">
      <c r="A9" s="903"/>
      <c r="B9" s="139" t="s">
        <v>128</v>
      </c>
      <c r="C9" s="58" t="s">
        <v>571</v>
      </c>
      <c r="D9" s="139" t="s">
        <v>160</v>
      </c>
      <c r="E9" s="139" t="s">
        <v>161</v>
      </c>
      <c r="F9" s="908"/>
      <c r="G9" s="141" t="s">
        <v>162</v>
      </c>
      <c r="H9" s="58" t="s">
        <v>571</v>
      </c>
      <c r="I9" s="139" t="s">
        <v>163</v>
      </c>
      <c r="J9" s="340" t="s">
        <v>287</v>
      </c>
      <c r="K9" s="340" t="s">
        <v>164</v>
      </c>
      <c r="L9" s="63" t="s">
        <v>288</v>
      </c>
      <c r="M9" s="63" t="s">
        <v>289</v>
      </c>
      <c r="N9" s="79" t="s">
        <v>9</v>
      </c>
      <c r="O9" s="144" t="s">
        <v>101</v>
      </c>
      <c r="P9" s="63" t="s">
        <v>165</v>
      </c>
      <c r="Q9" s="739" t="s">
        <v>612</v>
      </c>
      <c r="R9" s="145" t="s">
        <v>166</v>
      </c>
      <c r="S9" s="63" t="s">
        <v>167</v>
      </c>
      <c r="T9" s="901"/>
      <c r="U9" s="59" t="s">
        <v>572</v>
      </c>
      <c r="V9" s="901"/>
      <c r="W9" s="901"/>
      <c r="X9" s="340" t="s">
        <v>287</v>
      </c>
      <c r="Y9" s="344" t="s">
        <v>292</v>
      </c>
      <c r="Z9" s="902"/>
      <c r="AA9" s="364" t="s">
        <v>128</v>
      </c>
      <c r="AB9" s="364" t="s">
        <v>160</v>
      </c>
      <c r="AC9" s="918"/>
      <c r="AD9" s="141" t="s">
        <v>170</v>
      </c>
      <c r="AE9" s="909"/>
      <c r="AF9" s="909"/>
      <c r="AG9" s="915"/>
      <c r="AH9" s="915"/>
      <c r="AI9" s="909"/>
      <c r="AJ9" s="146" t="s">
        <v>170</v>
      </c>
      <c r="AK9" s="146" t="s">
        <v>170</v>
      </c>
      <c r="AL9" s="903"/>
      <c r="AT9" s="147"/>
    </row>
    <row r="10" spans="1:46" ht="31.2" customHeight="1" x14ac:dyDescent="0.25">
      <c r="A10" s="139" t="s">
        <v>18</v>
      </c>
      <c r="B10" s="63" t="s">
        <v>21</v>
      </c>
      <c r="C10" s="63" t="s">
        <v>21</v>
      </c>
      <c r="D10" s="63" t="s">
        <v>21</v>
      </c>
      <c r="E10" s="63" t="s">
        <v>21</v>
      </c>
      <c r="F10" s="63" t="s">
        <v>21</v>
      </c>
      <c r="G10" s="141" t="s">
        <v>21</v>
      </c>
      <c r="H10" s="141"/>
      <c r="I10" s="63" t="s">
        <v>21</v>
      </c>
      <c r="J10" s="63" t="s">
        <v>21</v>
      </c>
      <c r="K10" s="63" t="s">
        <v>21</v>
      </c>
      <c r="L10" s="63" t="s">
        <v>21</v>
      </c>
      <c r="M10" s="63" t="s">
        <v>21</v>
      </c>
      <c r="N10" s="63" t="s">
        <v>21</v>
      </c>
      <c r="O10" s="63" t="s">
        <v>21</v>
      </c>
      <c r="P10" s="63"/>
      <c r="Q10" s="63"/>
      <c r="R10" s="63"/>
      <c r="S10" s="63"/>
      <c r="T10" s="63" t="s">
        <v>21</v>
      </c>
      <c r="U10" s="63" t="s">
        <v>21</v>
      </c>
      <c r="V10" s="63" t="s">
        <v>21</v>
      </c>
      <c r="W10" s="63" t="s">
        <v>21</v>
      </c>
      <c r="X10" s="63" t="s">
        <v>21</v>
      </c>
      <c r="Y10" s="63" t="s">
        <v>21</v>
      </c>
      <c r="Z10" s="63" t="s">
        <v>21</v>
      </c>
      <c r="AA10" s="364" t="s">
        <v>21</v>
      </c>
      <c r="AB10" s="364" t="s">
        <v>21</v>
      </c>
      <c r="AC10" s="63" t="s">
        <v>21</v>
      </c>
      <c r="AD10" s="141" t="s">
        <v>21</v>
      </c>
      <c r="AE10" s="63" t="s">
        <v>21</v>
      </c>
      <c r="AF10" s="63" t="s">
        <v>21</v>
      </c>
      <c r="AG10" s="63" t="s">
        <v>21</v>
      </c>
      <c r="AH10" s="63" t="s">
        <v>21</v>
      </c>
      <c r="AI10" s="63" t="s">
        <v>21</v>
      </c>
      <c r="AJ10" s="63" t="s">
        <v>21</v>
      </c>
      <c r="AK10" s="63" t="s">
        <v>21</v>
      </c>
      <c r="AL10" s="501" t="s">
        <v>18</v>
      </c>
      <c r="AM10" s="148"/>
      <c r="AT10" s="130"/>
    </row>
    <row r="11" spans="1:46" ht="26.4" customHeight="1" x14ac:dyDescent="0.25">
      <c r="A11" s="149" t="s">
        <v>126</v>
      </c>
      <c r="B11" s="150">
        <f>'прилож.3-сады'!T13</f>
        <v>23960269.004999999</v>
      </c>
      <c r="C11" s="150">
        <v>0</v>
      </c>
      <c r="D11" s="150">
        <f>'прилож.3-сады'!Q22</f>
        <v>9950583.7199999988</v>
      </c>
      <c r="E11" s="150">
        <f>'прилож.3-сады'!S23</f>
        <v>1716765.12</v>
      </c>
      <c r="F11" s="154">
        <f>SUM(B11:E11)</f>
        <v>35627617.844999991</v>
      </c>
      <c r="G11" s="150">
        <f>'прилож.3-сады'!N13</f>
        <v>9071917.2400000002</v>
      </c>
      <c r="H11" s="150">
        <v>0</v>
      </c>
      <c r="I11" s="150">
        <f>'прилож.3-сады'!O12</f>
        <v>5150884.8149999995</v>
      </c>
      <c r="J11" s="151">
        <f>'прилож.3-сады'!Q13</f>
        <v>9737466.9500000011</v>
      </c>
      <c r="K11" s="151">
        <f>'прилож.3-сады'!Q22</f>
        <v>9950583.7199999988</v>
      </c>
      <c r="L11" s="454">
        <f>SUM(J11:K11)</f>
        <v>19688050.670000002</v>
      </c>
      <c r="M11" s="150">
        <f>'прилож.3-сады'!S23</f>
        <v>1716765.12</v>
      </c>
      <c r="N11" s="154">
        <f>G11+I11+L11+M11</f>
        <v>35627617.844999999</v>
      </c>
      <c r="O11" s="150"/>
      <c r="P11" s="151">
        <f>T11/G11</f>
        <v>1.351414114090838</v>
      </c>
      <c r="Q11" s="151">
        <v>0</v>
      </c>
      <c r="R11" s="151">
        <f>V11/I11</f>
        <v>0.99769111222107587</v>
      </c>
      <c r="S11" s="151">
        <f>W11/L11</f>
        <v>0.96267373228982034</v>
      </c>
      <c r="T11" s="150">
        <v>12259917</v>
      </c>
      <c r="U11" s="150">
        <v>0</v>
      </c>
      <c r="V11" s="150">
        <v>5138992</v>
      </c>
      <c r="W11" s="151">
        <v>18953169.219999999</v>
      </c>
      <c r="X11" s="151">
        <f>J11*S11</f>
        <v>9374003.6518052742</v>
      </c>
      <c r="Y11" s="643">
        <f>K11*S11</f>
        <v>9579165.5681947228</v>
      </c>
      <c r="Z11" s="505">
        <f t="shared" ref="Z11:Z18" si="0">T11+V11+W11</f>
        <v>36352078.219999999</v>
      </c>
      <c r="AA11" s="365">
        <f>T11+V11+X11</f>
        <v>26772912.651805274</v>
      </c>
      <c r="AB11" s="365">
        <f>Y11</f>
        <v>9579165.5681947228</v>
      </c>
      <c r="AC11" s="643">
        <v>1716765.12</v>
      </c>
      <c r="AD11" s="150">
        <f t="shared" ref="AD11:AD12" si="1">Z11</f>
        <v>36352078.219999999</v>
      </c>
      <c r="AE11" s="150">
        <f>989605.4+36447.59+1328250</f>
        <v>2354302.9900000002</v>
      </c>
      <c r="AF11" s="150">
        <f t="shared" ref="AF11:AF20" si="2">T11+V11+W11-Y11</f>
        <v>26772912.651805274</v>
      </c>
      <c r="AG11" s="541" t="e">
        <f>AE11/#REF!</f>
        <v>#REF!</v>
      </c>
      <c r="AH11" s="541">
        <f t="shared" ref="AH11:AH20" si="3">AF11/B11</f>
        <v>1.1173878158971562</v>
      </c>
      <c r="AI11" s="542" t="s">
        <v>126</v>
      </c>
      <c r="AJ11" s="150">
        <v>36352078.219999999</v>
      </c>
      <c r="AK11" s="150">
        <f>AJ11</f>
        <v>36352078.219999999</v>
      </c>
      <c r="AL11" s="149" t="s">
        <v>126</v>
      </c>
      <c r="AM11" s="148"/>
      <c r="AO11" s="671">
        <v>1285143.75</v>
      </c>
      <c r="AT11" s="152"/>
    </row>
    <row r="12" spans="1:46" ht="27" customHeight="1" x14ac:dyDescent="0.25">
      <c r="A12" s="149" t="s">
        <v>136</v>
      </c>
      <c r="B12" s="150">
        <f>'прилож.3-сады'!T27</f>
        <v>23075837.270000003</v>
      </c>
      <c r="C12" s="150">
        <v>0</v>
      </c>
      <c r="D12" s="150">
        <f>'прилож.3-сады'!Q39</f>
        <v>4551818.4400000013</v>
      </c>
      <c r="E12" s="150">
        <f>'прилож.3-сады'!S40</f>
        <v>1512388.32</v>
      </c>
      <c r="F12" s="154">
        <f>SUM(B12:E12)</f>
        <v>29140044.030000005</v>
      </c>
      <c r="G12" s="150">
        <f>'прилож.3-сады'!N27</f>
        <v>11417185.440000001</v>
      </c>
      <c r="H12" s="150">
        <v>0</v>
      </c>
      <c r="I12" s="150">
        <f>'прилож.3-сады'!O27</f>
        <v>6303828.3099999996</v>
      </c>
      <c r="J12" s="151">
        <f>'прилож.3-сады'!Q27</f>
        <v>5354823.5199999996</v>
      </c>
      <c r="K12" s="151">
        <f>'прилож.3-сады'!Q39</f>
        <v>4551818.4400000013</v>
      </c>
      <c r="L12" s="454">
        <f t="shared" ref="L12:L20" si="4">SUM(J12:K12)</f>
        <v>9906641.9600000009</v>
      </c>
      <c r="M12" s="150">
        <f>'прилож.3-сады'!S40</f>
        <v>1512388.32</v>
      </c>
      <c r="N12" s="154">
        <f>G12+I12+L12+M12</f>
        <v>29140044.030000001</v>
      </c>
      <c r="O12" s="150"/>
      <c r="P12" s="151">
        <f t="shared" ref="P12:P21" si="5">T12/G12</f>
        <v>1.2657413752228586</v>
      </c>
      <c r="Q12" s="151">
        <v>0</v>
      </c>
      <c r="R12" s="151">
        <f>V12/I12</f>
        <v>0.97723775094375953</v>
      </c>
      <c r="S12" s="151">
        <f t="shared" ref="S12:S21" si="6">W12/L12</f>
        <v>0.94117946703304489</v>
      </c>
      <c r="T12" s="150">
        <v>14451204</v>
      </c>
      <c r="U12" s="150">
        <v>0</v>
      </c>
      <c r="V12" s="150">
        <v>6160339</v>
      </c>
      <c r="W12" s="151">
        <v>9323928</v>
      </c>
      <c r="X12" s="151">
        <f t="shared" ref="X12:X20" si="7">J12*S12</f>
        <v>5039849.9466096126</v>
      </c>
      <c r="Y12" s="643">
        <f>K12*S12</f>
        <v>4284078.0533903874</v>
      </c>
      <c r="Z12" s="505">
        <f t="shared" si="0"/>
        <v>29935471</v>
      </c>
      <c r="AA12" s="365">
        <f t="shared" ref="AA12:AA20" si="8">T12+V12+X12</f>
        <v>25651392.946609613</v>
      </c>
      <c r="AB12" s="365">
        <f t="shared" ref="AB12:AB20" si="9">Y12</f>
        <v>4284078.0533903874</v>
      </c>
      <c r="AC12" s="643">
        <v>1512388.32</v>
      </c>
      <c r="AD12" s="150">
        <f t="shared" si="1"/>
        <v>29935471</v>
      </c>
      <c r="AE12" s="150">
        <f>810487.3+1293600</f>
        <v>2104087.2999999998</v>
      </c>
      <c r="AF12" s="150">
        <f t="shared" si="2"/>
        <v>25651392.946609613</v>
      </c>
      <c r="AG12" s="541" t="e">
        <f>AE12/#REF!</f>
        <v>#REF!</v>
      </c>
      <c r="AH12" s="541">
        <f t="shared" si="3"/>
        <v>1.1116126642112349</v>
      </c>
      <c r="AI12" s="542" t="s">
        <v>136</v>
      </c>
      <c r="AJ12" s="150">
        <v>29935471</v>
      </c>
      <c r="AK12" s="150">
        <f t="shared" ref="AK12:AK20" si="10">AJ12</f>
        <v>29935471</v>
      </c>
      <c r="AL12" s="149" t="s">
        <v>136</v>
      </c>
      <c r="AM12" s="148"/>
      <c r="AO12" s="671">
        <v>1353684.75</v>
      </c>
      <c r="AT12" s="152"/>
    </row>
    <row r="13" spans="1:46" ht="27" customHeight="1" x14ac:dyDescent="0.25">
      <c r="A13" s="149" t="s">
        <v>141</v>
      </c>
      <c r="B13" s="150">
        <f>'прилож.3-сады'!T42</f>
        <v>27290617.279999997</v>
      </c>
      <c r="C13" s="150">
        <v>0</v>
      </c>
      <c r="D13" s="150">
        <f>'прилож.3-сады'!Q53</f>
        <v>5966572.8199999994</v>
      </c>
      <c r="E13" s="150">
        <f>'прилож.3-сады'!S54</f>
        <v>1982454.96</v>
      </c>
      <c r="F13" s="154">
        <f t="shared" ref="F13:F18" si="11">SUM(B13:E13)</f>
        <v>35239645.059999995</v>
      </c>
      <c r="G13" s="150">
        <f>'прилож.3-сады'!N42</f>
        <v>13537913.15</v>
      </c>
      <c r="H13" s="150">
        <v>0</v>
      </c>
      <c r="I13" s="150">
        <f>'прилож.3-сады'!O42</f>
        <v>6733543.5700000003</v>
      </c>
      <c r="J13" s="657">
        <f>'прилож.3-сады'!Q42</f>
        <v>7019160.5599999996</v>
      </c>
      <c r="K13" s="151">
        <f>'прилож.3-сады'!Q53</f>
        <v>5966572.8199999994</v>
      </c>
      <c r="L13" s="454">
        <f t="shared" si="4"/>
        <v>12985733.379999999</v>
      </c>
      <c r="M13" s="150">
        <f>'прилож.3-сады'!S54</f>
        <v>1982454.96</v>
      </c>
      <c r="N13" s="154">
        <f>G13+I13+L13+M13</f>
        <v>35239645.059999995</v>
      </c>
      <c r="O13" s="150"/>
      <c r="P13" s="151">
        <f t="shared" si="5"/>
        <v>1.2657413893957503</v>
      </c>
      <c r="Q13" s="151">
        <v>0</v>
      </c>
      <c r="R13" s="151">
        <f t="shared" ref="R13:R21" si="12">V13/I13</f>
        <v>0.97638590018063842</v>
      </c>
      <c r="S13" s="151">
        <f t="shared" si="6"/>
        <v>0.92864204485923307</v>
      </c>
      <c r="T13" s="150">
        <v>17135497</v>
      </c>
      <c r="U13" s="150">
        <v>0</v>
      </c>
      <c r="V13" s="150">
        <v>6574537</v>
      </c>
      <c r="W13" s="151">
        <v>12059098</v>
      </c>
      <c r="X13" s="151">
        <f>J13*S13</f>
        <v>6518287.6156336796</v>
      </c>
      <c r="Y13" s="643">
        <f>K13*S13</f>
        <v>5540810.3843663204</v>
      </c>
      <c r="Z13" s="505">
        <f>T13+V13+W13</f>
        <v>35769132</v>
      </c>
      <c r="AA13" s="365">
        <f>T13+V13+X13</f>
        <v>30228321.615633681</v>
      </c>
      <c r="AB13" s="365">
        <f t="shared" si="9"/>
        <v>5540810.3843663204</v>
      </c>
      <c r="AC13" s="643">
        <v>1982454.96</v>
      </c>
      <c r="AD13" s="150">
        <f>Z13</f>
        <v>35769132</v>
      </c>
      <c r="AE13" s="150">
        <f>2299256.17+2483250</f>
        <v>4782506.17</v>
      </c>
      <c r="AF13" s="150">
        <f t="shared" si="2"/>
        <v>30228321.615633681</v>
      </c>
      <c r="AG13" s="541" t="e">
        <f>AE13/#REF!</f>
        <v>#REF!</v>
      </c>
      <c r="AH13" s="541">
        <f t="shared" si="3"/>
        <v>1.1076452139390263</v>
      </c>
      <c r="AI13" s="542" t="s">
        <v>141</v>
      </c>
      <c r="AJ13" s="150">
        <v>35769132</v>
      </c>
      <c r="AK13" s="150">
        <f t="shared" si="10"/>
        <v>35769132</v>
      </c>
      <c r="AL13" s="149" t="s">
        <v>141</v>
      </c>
      <c r="AM13" s="148"/>
      <c r="AO13" s="671">
        <v>1884877.5</v>
      </c>
      <c r="AT13" s="152"/>
    </row>
    <row r="14" spans="1:46" ht="27" customHeight="1" x14ac:dyDescent="0.25">
      <c r="A14" s="149" t="s">
        <v>142</v>
      </c>
      <c r="B14" s="150">
        <f>'прилож.3-сады'!T56</f>
        <v>21136605.600000001</v>
      </c>
      <c r="C14" s="150">
        <v>0</v>
      </c>
      <c r="D14" s="150">
        <f>'прилож.3-сады'!Q66</f>
        <v>5351462.22</v>
      </c>
      <c r="E14" s="150">
        <f>'прилож.3-сады'!S67</f>
        <v>1778078.16</v>
      </c>
      <c r="F14" s="154">
        <f t="shared" si="11"/>
        <v>28266145.98</v>
      </c>
      <c r="G14" s="150">
        <f>'прилож.3-сады'!N56</f>
        <v>9226629.7200000007</v>
      </c>
      <c r="H14" s="150">
        <v>0</v>
      </c>
      <c r="I14" s="150">
        <f>'прилож.3-сады'!O56</f>
        <v>5614440.120000001</v>
      </c>
      <c r="J14" s="151">
        <f>'прилож.3-сады'!Q56</f>
        <v>6295535.7599999998</v>
      </c>
      <c r="K14" s="151">
        <f>'прилож.3-сады'!Q66</f>
        <v>5351462.22</v>
      </c>
      <c r="L14" s="454">
        <f t="shared" si="4"/>
        <v>11646997.98</v>
      </c>
      <c r="M14" s="150">
        <f>'прилож.3-сады'!S67</f>
        <v>1778078.16</v>
      </c>
      <c r="N14" s="154">
        <f>G14+I14+L14+M14</f>
        <v>28266145.98</v>
      </c>
      <c r="O14" s="150"/>
      <c r="P14" s="151">
        <f t="shared" si="5"/>
        <v>1.2657413762562912</v>
      </c>
      <c r="Q14" s="151">
        <v>0</v>
      </c>
      <c r="R14" s="151">
        <f t="shared" si="12"/>
        <v>0.87641312309516606</v>
      </c>
      <c r="S14" s="151">
        <f t="shared" si="6"/>
        <v>0.96912424037356959</v>
      </c>
      <c r="T14" s="150">
        <v>11678527</v>
      </c>
      <c r="U14" s="150">
        <v>0</v>
      </c>
      <c r="V14" s="150">
        <v>4920569</v>
      </c>
      <c r="W14" s="151">
        <v>11287388.07</v>
      </c>
      <c r="X14" s="151">
        <f t="shared" si="7"/>
        <v>6101156.3111546431</v>
      </c>
      <c r="Y14" s="643">
        <f>K14*S14</f>
        <v>5186231.7588453563</v>
      </c>
      <c r="Z14" s="505">
        <f>T14+V14+W14</f>
        <v>27886484.07</v>
      </c>
      <c r="AA14" s="365">
        <f t="shared" si="8"/>
        <v>22700252.311154641</v>
      </c>
      <c r="AB14" s="365">
        <f t="shared" si="9"/>
        <v>5186231.7588453563</v>
      </c>
      <c r="AC14" s="643">
        <v>1778078.16</v>
      </c>
      <c r="AD14" s="150">
        <f>Z14</f>
        <v>27886484.07</v>
      </c>
      <c r="AE14" s="150">
        <f>1023799.35+1178100</f>
        <v>2201899.35</v>
      </c>
      <c r="AF14" s="150">
        <f t="shared" si="2"/>
        <v>22700252.311154645</v>
      </c>
      <c r="AG14" s="541" t="e">
        <f>AE14/#REF!</f>
        <v>#REF!</v>
      </c>
      <c r="AH14" s="541">
        <f t="shared" si="3"/>
        <v>1.0739781373010358</v>
      </c>
      <c r="AI14" s="542" t="s">
        <v>142</v>
      </c>
      <c r="AJ14" s="150">
        <v>27886484.07</v>
      </c>
      <c r="AK14" s="150">
        <f t="shared" si="10"/>
        <v>27886484.07</v>
      </c>
      <c r="AL14" s="149" t="s">
        <v>142</v>
      </c>
      <c r="AM14" s="148"/>
      <c r="AO14" s="671">
        <v>1679254.5</v>
      </c>
      <c r="AT14" s="152"/>
    </row>
    <row r="15" spans="1:46" ht="27" customHeight="1" x14ac:dyDescent="0.25">
      <c r="A15" s="149" t="s">
        <v>144</v>
      </c>
      <c r="B15" s="150">
        <f>'прилож.3-сады'!T69</f>
        <v>25383875.209999997</v>
      </c>
      <c r="C15" s="150">
        <f>'прилож.3-сады'!T84</f>
        <v>0</v>
      </c>
      <c r="D15" s="150">
        <f>'прилож.3-сады'!Q81</f>
        <v>6335639.1799999997</v>
      </c>
      <c r="E15" s="150">
        <f>'прилож.3-сады'!S82</f>
        <v>2105081.04</v>
      </c>
      <c r="F15" s="154">
        <f t="shared" si="11"/>
        <v>33824595.43</v>
      </c>
      <c r="G15" s="150">
        <f>'прилож.3-сады'!N69</f>
        <v>11769594.259999998</v>
      </c>
      <c r="H15" s="794">
        <f>'прилож.3-сады'!N84</f>
        <v>0</v>
      </c>
      <c r="I15" s="150">
        <f>'прилож.3-сады'!O69</f>
        <v>6160945.5099999998</v>
      </c>
      <c r="J15" s="151">
        <f>'прилож.3-сады'!Q69</f>
        <v>7453335.4399999995</v>
      </c>
      <c r="K15" s="151">
        <f>'прилож.3-сады'!Q81</f>
        <v>6335639.1799999997</v>
      </c>
      <c r="L15" s="454">
        <f t="shared" si="4"/>
        <v>13788974.619999999</v>
      </c>
      <c r="M15" s="150">
        <f>'прилож.3-сады'!S82</f>
        <v>2105081.04</v>
      </c>
      <c r="N15" s="154">
        <f>G15+H15+I15+L15+M15</f>
        <v>33824595.429999992</v>
      </c>
      <c r="O15" s="150"/>
      <c r="P15" s="151">
        <f t="shared" si="5"/>
        <v>1.2657413391581098</v>
      </c>
      <c r="Q15" s="711">
        <v>0</v>
      </c>
      <c r="R15" s="151">
        <f t="shared" si="12"/>
        <v>0.97207287262633169</v>
      </c>
      <c r="S15" s="151">
        <f t="shared" si="6"/>
        <v>0.90545122201407036</v>
      </c>
      <c r="T15" s="150">
        <v>14897262</v>
      </c>
      <c r="U15" s="794">
        <f>187978-187978</f>
        <v>0</v>
      </c>
      <c r="V15" s="150">
        <v>5988888</v>
      </c>
      <c r="W15" s="151">
        <v>12485243.92</v>
      </c>
      <c r="X15" s="151">
        <f t="shared" si="7"/>
        <v>6748631.6822287785</v>
      </c>
      <c r="Y15" s="643">
        <f t="shared" ref="Y15:Y20" si="13">K15*S15</f>
        <v>5736612.2377712224</v>
      </c>
      <c r="Z15" s="505">
        <f>T15+U15+V15+W15</f>
        <v>33371393.920000002</v>
      </c>
      <c r="AA15" s="365">
        <f t="shared" si="8"/>
        <v>27634781.682228778</v>
      </c>
      <c r="AB15" s="365">
        <f t="shared" si="9"/>
        <v>5736612.2377712224</v>
      </c>
      <c r="AC15" s="643">
        <v>2105081.04</v>
      </c>
      <c r="AD15" s="150">
        <f>Z15</f>
        <v>33371393.920000002</v>
      </c>
      <c r="AE15" s="150">
        <f>1631026.83+1744050</f>
        <v>3375076.83</v>
      </c>
      <c r="AF15" s="150">
        <f t="shared" si="2"/>
        <v>27634781.682228781</v>
      </c>
      <c r="AG15" s="541" t="e">
        <f>AE15/#REF!</f>
        <v>#REF!</v>
      </c>
      <c r="AH15" s="541">
        <f t="shared" si="3"/>
        <v>1.0886746587590392</v>
      </c>
      <c r="AI15" s="542" t="s">
        <v>144</v>
      </c>
      <c r="AJ15" s="150">
        <v>33371393.920000002</v>
      </c>
      <c r="AK15" s="150">
        <f t="shared" si="10"/>
        <v>33371393.920000002</v>
      </c>
      <c r="AL15" s="149" t="s">
        <v>144</v>
      </c>
      <c r="AM15" s="148"/>
      <c r="AO15" s="671">
        <v>1867742.25</v>
      </c>
      <c r="AT15" s="152"/>
    </row>
    <row r="16" spans="1:46" ht="27" customHeight="1" x14ac:dyDescent="0.25">
      <c r="A16" s="149" t="s">
        <v>146</v>
      </c>
      <c r="B16" s="150">
        <f>'прилож.3-сады'!T87</f>
        <v>23423424.979999997</v>
      </c>
      <c r="C16" s="150">
        <v>0</v>
      </c>
      <c r="D16" s="150">
        <f>'прилож.3-сады'!Q97</f>
        <v>5966572.8199999994</v>
      </c>
      <c r="E16" s="150">
        <f>'прилож.3-сады'!S98</f>
        <v>1982454.96</v>
      </c>
      <c r="F16" s="154">
        <f t="shared" si="11"/>
        <v>31372452.759999998</v>
      </c>
      <c r="G16" s="150">
        <f>'прилож.3-сады'!N87</f>
        <v>10827751.16</v>
      </c>
      <c r="H16" s="150">
        <v>0</v>
      </c>
      <c r="I16" s="150">
        <f>'прилож.3-сады'!O87</f>
        <v>5576513.2599999998</v>
      </c>
      <c r="J16" s="151">
        <f>'прилож.3-сады'!Q87</f>
        <v>7019160.5599999996</v>
      </c>
      <c r="K16" s="151">
        <f>'прилож.3-сады'!Q97</f>
        <v>5966572.8199999994</v>
      </c>
      <c r="L16" s="454">
        <f t="shared" si="4"/>
        <v>12985733.379999999</v>
      </c>
      <c r="M16" s="150">
        <f>'прилож.3-сады'!S98</f>
        <v>1982454.96</v>
      </c>
      <c r="N16" s="154">
        <f t="shared" ref="N16:N18" si="14">G16+I16+L16+M16</f>
        <v>31372452.759999998</v>
      </c>
      <c r="O16" s="150"/>
      <c r="P16" s="151">
        <f t="shared" si="5"/>
        <v>1.2657414081171035</v>
      </c>
      <c r="Q16" s="151">
        <v>0</v>
      </c>
      <c r="R16" s="151">
        <f t="shared" si="12"/>
        <v>0.97410581607762559</v>
      </c>
      <c r="S16" s="151">
        <f t="shared" si="6"/>
        <v>0.84064868502636703</v>
      </c>
      <c r="T16" s="150">
        <v>13705133</v>
      </c>
      <c r="U16" s="150">
        <v>0</v>
      </c>
      <c r="V16" s="150">
        <v>5432114</v>
      </c>
      <c r="W16" s="151">
        <v>10916439.689999999</v>
      </c>
      <c r="X16" s="151">
        <f t="shared" si="7"/>
        <v>5900648.0947529376</v>
      </c>
      <c r="Y16" s="643">
        <f t="shared" si="13"/>
        <v>5015791.5952470619</v>
      </c>
      <c r="Z16" s="505">
        <f t="shared" si="0"/>
        <v>30053686.689999998</v>
      </c>
      <c r="AA16" s="365">
        <f t="shared" si="8"/>
        <v>25037895.094752938</v>
      </c>
      <c r="AB16" s="365">
        <f t="shared" si="9"/>
        <v>5015791.5952470619</v>
      </c>
      <c r="AC16" s="643">
        <v>1982454.96</v>
      </c>
      <c r="AD16" s="150">
        <f t="shared" ref="AD16:AD20" si="15">Z16</f>
        <v>30053686.689999998</v>
      </c>
      <c r="AE16" s="150">
        <f>1223824.58+1293600</f>
        <v>2517424.58</v>
      </c>
      <c r="AF16" s="150">
        <f t="shared" si="2"/>
        <v>25037895.094752938</v>
      </c>
      <c r="AG16" s="541" t="e">
        <f>AE16/#REF!</f>
        <v>#REF!</v>
      </c>
      <c r="AH16" s="541">
        <f t="shared" si="3"/>
        <v>1.0689254503187067</v>
      </c>
      <c r="AI16" s="542" t="s">
        <v>146</v>
      </c>
      <c r="AJ16" s="150">
        <v>30053686.690000001</v>
      </c>
      <c r="AK16" s="150">
        <f t="shared" si="10"/>
        <v>30053686.690000001</v>
      </c>
      <c r="AL16" s="149" t="s">
        <v>146</v>
      </c>
      <c r="AM16" s="148"/>
      <c r="AO16" s="671">
        <v>1799201.25</v>
      </c>
      <c r="AT16" s="152"/>
    </row>
    <row r="17" spans="1:46" ht="27" customHeight="1" x14ac:dyDescent="0.25">
      <c r="A17" s="149" t="s">
        <v>147</v>
      </c>
      <c r="B17" s="150">
        <f>'прилож.3-сады'!T100</f>
        <v>32645981.390000001</v>
      </c>
      <c r="C17" s="150">
        <f>'прилож.3-сады'!T132</f>
        <v>0</v>
      </c>
      <c r="D17" s="150">
        <f>'прилож.3-сады'!Q129</f>
        <v>6212617.0599999996</v>
      </c>
      <c r="E17" s="150">
        <f>'прилож.3-сады'!S130</f>
        <v>2064205.68</v>
      </c>
      <c r="F17" s="154">
        <f t="shared" si="11"/>
        <v>40922804.130000003</v>
      </c>
      <c r="G17" s="150">
        <f>'прилож.3-сады'!N100</f>
        <v>15547614.799999997</v>
      </c>
      <c r="H17" s="794">
        <f>'прилож.3-сады'!N132</f>
        <v>0</v>
      </c>
      <c r="I17" s="150">
        <f>'прилож.3-сады'!O100</f>
        <v>9789756.1099999994</v>
      </c>
      <c r="J17" s="657">
        <f>'прилож.3-сады'!Q100</f>
        <v>7308610.4799999995</v>
      </c>
      <c r="K17" s="151">
        <f>'прилож.3-сады'!Q129</f>
        <v>6212617.0599999996</v>
      </c>
      <c r="L17" s="454">
        <f t="shared" si="4"/>
        <v>13521227.539999999</v>
      </c>
      <c r="M17" s="150">
        <f>'прилож.3-сады'!S130</f>
        <v>2064205.68</v>
      </c>
      <c r="N17" s="154">
        <f>G17+H17+I17+L17+M17</f>
        <v>40922804.129999995</v>
      </c>
      <c r="O17" s="150"/>
      <c r="P17" s="151">
        <f t="shared" si="5"/>
        <v>1.2657413534582811</v>
      </c>
      <c r="Q17" s="711">
        <v>0</v>
      </c>
      <c r="R17" s="151">
        <f t="shared" si="12"/>
        <v>0.95355010841020849</v>
      </c>
      <c r="S17" s="151">
        <f t="shared" si="6"/>
        <v>0.98073721197062269</v>
      </c>
      <c r="T17" s="150">
        <v>19679259</v>
      </c>
      <c r="U17" s="794">
        <f>109185-109185</f>
        <v>0</v>
      </c>
      <c r="V17" s="150">
        <v>9335023</v>
      </c>
      <c r="W17" s="151">
        <v>13260771</v>
      </c>
      <c r="X17" s="151">
        <f t="shared" si="7"/>
        <v>7167826.2655344736</v>
      </c>
      <c r="Y17" s="643">
        <f t="shared" si="13"/>
        <v>6092944.7344655264</v>
      </c>
      <c r="Z17" s="505">
        <f>T17+U17+V17+W17</f>
        <v>42275053</v>
      </c>
      <c r="AA17" s="365">
        <f t="shared" si="8"/>
        <v>36182108.265534475</v>
      </c>
      <c r="AB17" s="365">
        <f t="shared" si="9"/>
        <v>6092944.7344655264</v>
      </c>
      <c r="AC17" s="643">
        <v>2064205.68</v>
      </c>
      <c r="AD17" s="150">
        <f t="shared" si="15"/>
        <v>42275053</v>
      </c>
      <c r="AE17" s="150">
        <f>2214748.2+2621850</f>
        <v>4836598.2</v>
      </c>
      <c r="AF17" s="150">
        <f t="shared" si="2"/>
        <v>36182108.265534475</v>
      </c>
      <c r="AG17" s="541" t="e">
        <f>AE17/#REF!</f>
        <v>#REF!</v>
      </c>
      <c r="AH17" s="541">
        <f t="shared" si="3"/>
        <v>1.1083173709281611</v>
      </c>
      <c r="AI17" s="542" t="s">
        <v>171</v>
      </c>
      <c r="AJ17" s="150">
        <v>42275053</v>
      </c>
      <c r="AK17" s="150">
        <f>AJ17+4000</f>
        <v>42279053</v>
      </c>
      <c r="AL17" s="149" t="s">
        <v>147</v>
      </c>
      <c r="AM17" s="148"/>
      <c r="AO17" s="671">
        <v>1987689</v>
      </c>
      <c r="AT17" s="152"/>
    </row>
    <row r="18" spans="1:46" ht="27" customHeight="1" x14ac:dyDescent="0.25">
      <c r="A18" s="149" t="s">
        <v>148</v>
      </c>
      <c r="B18" s="150">
        <f>'прилож.3-сады'!T135</f>
        <v>26487076.59</v>
      </c>
      <c r="C18" s="150">
        <v>0</v>
      </c>
      <c r="D18" s="150">
        <f>'прилож.3-сады'!Q142</f>
        <v>7319818.0599999996</v>
      </c>
      <c r="E18" s="150">
        <f>'прилож.3-сады'!S143</f>
        <v>2432083.92</v>
      </c>
      <c r="F18" s="154">
        <f t="shared" si="11"/>
        <v>36238978.57</v>
      </c>
      <c r="G18" s="150">
        <f>'прилож.3-сады'!N135</f>
        <v>11898117.879999999</v>
      </c>
      <c r="H18" s="150">
        <v>0</v>
      </c>
      <c r="I18" s="150">
        <f>'прилож.3-сады'!O135</f>
        <v>5977823.5899999999</v>
      </c>
      <c r="J18" s="151">
        <f>'прилож.3-сады'!Q135</f>
        <v>8611135.1199999992</v>
      </c>
      <c r="K18" s="151">
        <f>'прилож.3-сады'!Q142</f>
        <v>7319818.0599999996</v>
      </c>
      <c r="L18" s="454">
        <f>SUM(J18:K18)</f>
        <v>15930953.18</v>
      </c>
      <c r="M18" s="150">
        <f>'прилож.3-сады'!S143</f>
        <v>2432083.92</v>
      </c>
      <c r="N18" s="154">
        <f t="shared" si="14"/>
        <v>36238978.57</v>
      </c>
      <c r="O18" s="150"/>
      <c r="P18" s="151">
        <f t="shared" si="5"/>
        <v>1.265741367827161</v>
      </c>
      <c r="Q18" s="151">
        <v>0</v>
      </c>
      <c r="R18" s="151">
        <f t="shared" si="12"/>
        <v>0.97610592085070214</v>
      </c>
      <c r="S18" s="151">
        <f>W18/L18</f>
        <v>0.75729726173233292</v>
      </c>
      <c r="T18" s="150">
        <v>15059940</v>
      </c>
      <c r="U18" s="150">
        <v>0</v>
      </c>
      <c r="V18" s="150">
        <v>5834989</v>
      </c>
      <c r="W18" s="151">
        <v>12064467.220000001</v>
      </c>
      <c r="X18" s="151">
        <f t="shared" si="7"/>
        <v>6521189.0467831232</v>
      </c>
      <c r="Y18" s="643">
        <f t="shared" si="13"/>
        <v>5543278.1732168775</v>
      </c>
      <c r="Z18" s="505">
        <f t="shared" si="0"/>
        <v>32959396.219999999</v>
      </c>
      <c r="AA18" s="365">
        <f t="shared" si="8"/>
        <v>27416118.046783123</v>
      </c>
      <c r="AB18" s="365">
        <f t="shared" si="9"/>
        <v>5543278.1732168775</v>
      </c>
      <c r="AC18" s="643">
        <v>2432083.92</v>
      </c>
      <c r="AD18" s="150">
        <f t="shared" si="15"/>
        <v>32959396.219999999</v>
      </c>
      <c r="AE18" s="150">
        <f>1343296.5+1570800</f>
        <v>2914096.5</v>
      </c>
      <c r="AF18" s="150">
        <f t="shared" si="2"/>
        <v>27416118.046783119</v>
      </c>
      <c r="AG18" s="541" t="e">
        <f>AE18/#REF!</f>
        <v>#REF!</v>
      </c>
      <c r="AH18" s="541">
        <f t="shared" si="3"/>
        <v>1.0350752735443016</v>
      </c>
      <c r="AI18" s="542" t="s">
        <v>148</v>
      </c>
      <c r="AJ18" s="150">
        <v>32959396.219999999</v>
      </c>
      <c r="AK18" s="150">
        <f t="shared" si="10"/>
        <v>32959396.219999999</v>
      </c>
      <c r="AL18" s="149" t="s">
        <v>148</v>
      </c>
      <c r="AM18" s="148"/>
      <c r="AO18" s="671">
        <v>2159041.5</v>
      </c>
      <c r="AT18" s="152"/>
    </row>
    <row r="19" spans="1:46" ht="27" customHeight="1" x14ac:dyDescent="0.25">
      <c r="A19" s="149" t="s">
        <v>149</v>
      </c>
      <c r="B19" s="150">
        <f>'прилож.3-сады'!T145</f>
        <v>30972934.759999998</v>
      </c>
      <c r="C19" s="150">
        <f>'прилож.3-сады'!T157</f>
        <v>0</v>
      </c>
      <c r="D19" s="150">
        <f>'прилож.3-сады'!Q154</f>
        <v>7565860.3799999999</v>
      </c>
      <c r="E19" s="150">
        <f>'прилож.3-сады'!S155</f>
        <v>2513834.64</v>
      </c>
      <c r="F19" s="154">
        <f>SUM(B19:E19)</f>
        <v>41052629.780000001</v>
      </c>
      <c r="G19" s="150">
        <f>'прилож.3-сады'!N145</f>
        <v>13857509.370000001</v>
      </c>
      <c r="H19" s="794">
        <f>'прилож.3-сады'!N157</f>
        <v>0</v>
      </c>
      <c r="I19" s="150">
        <f>'прилож.3-сады'!O145</f>
        <v>8214840.3499999996</v>
      </c>
      <c r="J19" s="151">
        <f>'прилож.3-сады'!Q145</f>
        <v>8900585.040000001</v>
      </c>
      <c r="K19" s="151">
        <f>'прилож.3-сады'!Q154</f>
        <v>7565860.3799999999</v>
      </c>
      <c r="L19" s="454">
        <f t="shared" si="4"/>
        <v>16466445.420000002</v>
      </c>
      <c r="M19" s="150">
        <f>'прилож.3-сады'!S155</f>
        <v>2513834.64</v>
      </c>
      <c r="N19" s="154">
        <f>G19+H19+I19+L19+M19</f>
        <v>41052629.780000001</v>
      </c>
      <c r="O19" s="150"/>
      <c r="P19" s="151">
        <f t="shared" si="5"/>
        <v>1.2657373364633704</v>
      </c>
      <c r="Q19" s="711">
        <v>0</v>
      </c>
      <c r="R19" s="151">
        <f t="shared" si="12"/>
        <v>0.97534092674119954</v>
      </c>
      <c r="S19" s="151">
        <f t="shared" si="6"/>
        <v>0.951222598471407</v>
      </c>
      <c r="T19" s="150">
        <v>17539967</v>
      </c>
      <c r="U19" s="794">
        <f>234910-234910</f>
        <v>0</v>
      </c>
      <c r="V19" s="150">
        <v>8012270</v>
      </c>
      <c r="W19" s="151">
        <v>15663255</v>
      </c>
      <c r="X19" s="151">
        <f t="shared" si="7"/>
        <v>8466437.6296645328</v>
      </c>
      <c r="Y19" s="643">
        <f t="shared" si="13"/>
        <v>7196817.3703354662</v>
      </c>
      <c r="Z19" s="505">
        <f>T19+U19+V19+W19</f>
        <v>41215492</v>
      </c>
      <c r="AA19" s="365">
        <f t="shared" si="8"/>
        <v>34018674.629664533</v>
      </c>
      <c r="AB19" s="365">
        <f t="shared" si="9"/>
        <v>7196817.3703354662</v>
      </c>
      <c r="AC19" s="643">
        <v>2513834.64</v>
      </c>
      <c r="AD19" s="150">
        <f t="shared" si="15"/>
        <v>41215492</v>
      </c>
      <c r="AE19" s="150">
        <f>1403294.08+1593900</f>
        <v>2997194.08</v>
      </c>
      <c r="AF19" s="150">
        <f t="shared" si="2"/>
        <v>34018674.629664533</v>
      </c>
      <c r="AG19" s="541" t="e">
        <f>AE19/#REF!</f>
        <v>#REF!</v>
      </c>
      <c r="AH19" s="541">
        <f t="shared" si="3"/>
        <v>1.0983355272357966</v>
      </c>
      <c r="AI19" s="542" t="s">
        <v>149</v>
      </c>
      <c r="AJ19" s="150">
        <v>41215492</v>
      </c>
      <c r="AK19" s="150">
        <f t="shared" si="10"/>
        <v>41215492</v>
      </c>
      <c r="AL19" s="149" t="s">
        <v>149</v>
      </c>
      <c r="AM19" s="148"/>
      <c r="AO19" s="671">
        <v>2193312</v>
      </c>
      <c r="AT19" s="152"/>
    </row>
    <row r="20" spans="1:46" ht="27" customHeight="1" x14ac:dyDescent="0.25">
      <c r="A20" s="149" t="s">
        <v>172</v>
      </c>
      <c r="B20" s="150">
        <f>'прилож.3-сады'!T160</f>
        <v>45886803.010000005</v>
      </c>
      <c r="C20" s="150">
        <f>'прилож.3-сады'!T174</f>
        <v>0</v>
      </c>
      <c r="D20" s="150">
        <f>'прилож.3-сады'!Q171</f>
        <v>10825946.559999999</v>
      </c>
      <c r="E20" s="150">
        <f>'прилож.3-сады'!S172</f>
        <v>3597031.68</v>
      </c>
      <c r="F20" s="154">
        <f>SUM(B20:E20)</f>
        <v>60309781.250000007</v>
      </c>
      <c r="G20" s="150">
        <f>'прилож.3-сады'!N160</f>
        <v>21600063.270000003</v>
      </c>
      <c r="H20" s="794">
        <f>'прилож.3-сады'!N174</f>
        <v>0</v>
      </c>
      <c r="I20" s="150">
        <f>'прилож.3-сады'!O160</f>
        <v>11550943.260000002</v>
      </c>
      <c r="J20" s="151">
        <f>'прилож.3-сады'!Q160</f>
        <v>12735796.48</v>
      </c>
      <c r="K20" s="151">
        <f>'прилож.3-сады'!Q171</f>
        <v>10825946.559999999</v>
      </c>
      <c r="L20" s="454">
        <f t="shared" si="4"/>
        <v>23561743.039999999</v>
      </c>
      <c r="M20" s="150">
        <f>'прилож.3-сады'!S172</f>
        <v>3597031.68</v>
      </c>
      <c r="N20" s="154">
        <f>G20+H20+I20+L20+M20</f>
        <v>60309781.250000007</v>
      </c>
      <c r="O20" s="150"/>
      <c r="P20" s="151">
        <f t="shared" si="5"/>
        <v>1.2657413850251187</v>
      </c>
      <c r="Q20" s="711">
        <v>0</v>
      </c>
      <c r="R20" s="151">
        <f t="shared" si="12"/>
        <v>0.97281050967607285</v>
      </c>
      <c r="S20" s="151">
        <f t="shared" si="6"/>
        <v>0.96625717211794193</v>
      </c>
      <c r="T20" s="150">
        <v>27340094</v>
      </c>
      <c r="U20" s="794">
        <f>134327-134327</f>
        <v>0</v>
      </c>
      <c r="V20" s="150">
        <v>11236879</v>
      </c>
      <c r="W20" s="151">
        <v>22766703.199999999</v>
      </c>
      <c r="X20" s="151">
        <f t="shared" si="7"/>
        <v>12306054.691434439</v>
      </c>
      <c r="Y20" s="643">
        <f t="shared" si="13"/>
        <v>10460648.50856556</v>
      </c>
      <c r="Z20" s="505">
        <f>T20+U20+V20+W20</f>
        <v>61343676.200000003</v>
      </c>
      <c r="AA20" s="365">
        <f t="shared" si="8"/>
        <v>50883027.691434443</v>
      </c>
      <c r="AB20" s="365">
        <f t="shared" si="9"/>
        <v>10460648.50856556</v>
      </c>
      <c r="AC20" s="643">
        <v>3597031.68</v>
      </c>
      <c r="AD20" s="150">
        <f t="shared" si="15"/>
        <v>61343676.200000003</v>
      </c>
      <c r="AE20" s="150">
        <f>2304254.93+89977.11+2772000</f>
        <v>5166232.04</v>
      </c>
      <c r="AF20" s="150">
        <f t="shared" si="2"/>
        <v>50883027.691434443</v>
      </c>
      <c r="AG20" s="541" t="e">
        <f>AE20/#REF!</f>
        <v>#REF!</v>
      </c>
      <c r="AH20" s="541">
        <f t="shared" si="3"/>
        <v>1.108881516115769</v>
      </c>
      <c r="AI20" s="542" t="s">
        <v>172</v>
      </c>
      <c r="AJ20" s="150">
        <v>61343676.200000003</v>
      </c>
      <c r="AK20" s="150">
        <f t="shared" si="10"/>
        <v>61343676.200000003</v>
      </c>
      <c r="AL20" s="149" t="s">
        <v>172</v>
      </c>
      <c r="AM20" s="148"/>
      <c r="AO20" s="671">
        <v>3152886</v>
      </c>
      <c r="AT20" s="152"/>
    </row>
    <row r="21" spans="1:46" ht="27" customHeight="1" x14ac:dyDescent="0.25">
      <c r="A21" s="153" t="s">
        <v>119</v>
      </c>
      <c r="B21" s="343">
        <f t="shared" ref="B21:O21" si="16">SUM(B11:B20)</f>
        <v>280263425.09500003</v>
      </c>
      <c r="C21" s="154">
        <f>C15+C17+C19+C20</f>
        <v>0</v>
      </c>
      <c r="D21" s="343">
        <f t="shared" si="16"/>
        <v>70046891.260000005</v>
      </c>
      <c r="E21" s="343">
        <f t="shared" si="16"/>
        <v>21684378.48</v>
      </c>
      <c r="F21" s="154">
        <f t="shared" si="16"/>
        <v>371994694.83500004</v>
      </c>
      <c r="G21" s="154">
        <f t="shared" si="16"/>
        <v>128754296.28999999</v>
      </c>
      <c r="H21" s="154">
        <f>H15+H17+H19+H20</f>
        <v>0</v>
      </c>
      <c r="I21" s="154">
        <f t="shared" si="16"/>
        <v>71073518.894999996</v>
      </c>
      <c r="J21" s="154">
        <f>SUM(J11:J20)</f>
        <v>80435609.909999996</v>
      </c>
      <c r="K21" s="343">
        <f t="shared" si="16"/>
        <v>70046891.260000005</v>
      </c>
      <c r="L21" s="343">
        <f>SUM(J21:K21)</f>
        <v>150482501.17000002</v>
      </c>
      <c r="M21" s="343">
        <f t="shared" si="16"/>
        <v>21684378.48</v>
      </c>
      <c r="N21" s="154">
        <f>G21+H21+I21+L21+M21</f>
        <v>371994694.83500004</v>
      </c>
      <c r="O21" s="150">
        <f t="shared" si="16"/>
        <v>0</v>
      </c>
      <c r="P21" s="151">
        <f t="shared" si="5"/>
        <v>1.2717773675775803</v>
      </c>
      <c r="Q21" s="151">
        <v>0</v>
      </c>
      <c r="R21" s="151">
        <f t="shared" si="12"/>
        <v>0.96568456250768842</v>
      </c>
      <c r="S21" s="151">
        <f t="shared" si="6"/>
        <v>0.92223655402444282</v>
      </c>
      <c r="T21" s="809">
        <f t="shared" ref="T21:AD21" si="17">SUM(T11:T20)</f>
        <v>163746800</v>
      </c>
      <c r="U21" s="505">
        <f>U15+U17+U19+U20</f>
        <v>0</v>
      </c>
      <c r="V21" s="809">
        <f t="shared" si="17"/>
        <v>68634600</v>
      </c>
      <c r="W21" s="343">
        <f>SUM(W11:W20)</f>
        <v>138780463.31999999</v>
      </c>
      <c r="X21" s="154">
        <f t="shared" si="17"/>
        <v>74144084.935601488</v>
      </c>
      <c r="Y21" s="645">
        <f t="shared" si="17"/>
        <v>64636378.384398498</v>
      </c>
      <c r="Z21" s="809">
        <f t="shared" si="17"/>
        <v>371161863.31999999</v>
      </c>
      <c r="AA21" s="366">
        <f t="shared" si="17"/>
        <v>306525484.93560147</v>
      </c>
      <c r="AB21" s="366">
        <f t="shared" si="17"/>
        <v>64636378.384398498</v>
      </c>
      <c r="AC21" s="645">
        <f t="shared" si="17"/>
        <v>21684378.48</v>
      </c>
      <c r="AD21" s="809">
        <f t="shared" si="17"/>
        <v>371161863.31999999</v>
      </c>
      <c r="AE21" s="809" t="e">
        <f>O21-N21-#REF!</f>
        <v>#REF!</v>
      </c>
      <c r="AF21" s="809" t="e">
        <f>#REF!-O21-#REF!</f>
        <v>#REF!</v>
      </c>
      <c r="AG21" s="809" t="e">
        <f>#REF!-#REF!-T21</f>
        <v>#REF!</v>
      </c>
      <c r="AH21" s="809" t="e">
        <f>T21-#REF!-V21</f>
        <v>#REF!</v>
      </c>
      <c r="AI21" s="809">
        <f>V21-T21-W21</f>
        <v>-233892663.31999999</v>
      </c>
      <c r="AJ21" s="809">
        <f>SUM(AJ11:AJ20)</f>
        <v>371161863.31999999</v>
      </c>
      <c r="AK21" s="809">
        <f>SUM(AK11:AK20)</f>
        <v>371165863.31999999</v>
      </c>
      <c r="AL21" s="153" t="s">
        <v>119</v>
      </c>
      <c r="AM21" s="148"/>
      <c r="AO21" s="672">
        <f t="shared" ref="AO21" si="18">SUM(AO11:AO20)</f>
        <v>19362832.5</v>
      </c>
      <c r="AT21" s="155"/>
    </row>
    <row r="22" spans="1:46" x14ac:dyDescent="0.25">
      <c r="A22" s="129"/>
      <c r="B22" s="129"/>
      <c r="C22" s="129"/>
      <c r="D22" s="129"/>
      <c r="E22" s="129"/>
      <c r="F22" s="129"/>
      <c r="I22" s="129"/>
      <c r="J22" s="129"/>
      <c r="K22" s="129"/>
      <c r="L22" s="129"/>
      <c r="M22" s="129"/>
      <c r="N22" s="129"/>
      <c r="O22" s="129"/>
      <c r="T22" s="156"/>
      <c r="U22" s="156"/>
      <c r="V22" s="156"/>
      <c r="W22" s="156"/>
      <c r="X22" s="156"/>
      <c r="Y22" s="156"/>
      <c r="Z22" s="157"/>
      <c r="AA22" s="157"/>
      <c r="AB22" s="157"/>
      <c r="AC22" s="157"/>
    </row>
    <row r="23" spans="1:46" hidden="1" x14ac:dyDescent="0.25">
      <c r="W23" s="75">
        <v>9093938.6199999992</v>
      </c>
      <c r="Z23" s="75"/>
      <c r="AA23" s="75"/>
      <c r="AB23" s="75"/>
      <c r="AC23" s="75"/>
      <c r="AD23" s="158"/>
    </row>
    <row r="24" spans="1:46" hidden="1" x14ac:dyDescent="0.25">
      <c r="W24" s="75">
        <f>W21+W23</f>
        <v>147874401.94</v>
      </c>
      <c r="Z24" s="75"/>
      <c r="AA24" s="75"/>
      <c r="AB24" s="75"/>
      <c r="AC24" s="75"/>
    </row>
    <row r="25" spans="1:46" x14ac:dyDescent="0.25">
      <c r="G25" s="158"/>
      <c r="L25" s="75"/>
      <c r="N25" s="814">
        <f>G21+I21+L21+M21</f>
        <v>371994694.83500004</v>
      </c>
      <c r="Z25" s="75"/>
      <c r="AA25" s="75"/>
      <c r="AB25" s="75"/>
      <c r="AC25" s="75"/>
    </row>
    <row r="26" spans="1:46" x14ac:dyDescent="0.25">
      <c r="I26" s="75"/>
      <c r="L26" s="75"/>
      <c r="N26" s="814"/>
      <c r="V26" s="75"/>
      <c r="W26" s="75"/>
      <c r="Z26" s="814">
        <f>Z21-N21</f>
        <v>-832831.5150000453</v>
      </c>
      <c r="AA26" s="75"/>
      <c r="AB26" s="75"/>
      <c r="AC26" s="75"/>
    </row>
    <row r="27" spans="1:46" x14ac:dyDescent="0.25">
      <c r="I27" s="75"/>
      <c r="N27" s="814">
        <f>G21+I21+J21</f>
        <v>280263425.09500003</v>
      </c>
      <c r="Z27" s="75"/>
      <c r="AA27" s="75"/>
      <c r="AB27" s="75"/>
      <c r="AC27" s="75"/>
    </row>
    <row r="28" spans="1:46" x14ac:dyDescent="0.25">
      <c r="I28" s="75"/>
      <c r="Z28" s="75"/>
      <c r="AA28" s="75"/>
      <c r="AB28" s="75"/>
      <c r="AC28" s="75"/>
    </row>
    <row r="29" spans="1:46" x14ac:dyDescent="0.25">
      <c r="Z29" s="75"/>
      <c r="AA29" s="75"/>
      <c r="AB29" s="75"/>
      <c r="AC29" s="75"/>
    </row>
    <row r="30" spans="1:46" x14ac:dyDescent="0.25">
      <c r="G30" s="158"/>
      <c r="H30" s="158"/>
      <c r="I30" s="75"/>
      <c r="Z30" s="75"/>
      <c r="AA30" s="75"/>
      <c r="AB30" s="75"/>
      <c r="AC30" s="75"/>
    </row>
    <row r="31" spans="1:46" x14ac:dyDescent="0.25">
      <c r="I31" s="75"/>
      <c r="J31" s="78"/>
      <c r="W31" s="78"/>
      <c r="X31" s="78"/>
    </row>
    <row r="32" spans="1:46" x14ac:dyDescent="0.25">
      <c r="A32" s="48" t="s">
        <v>78</v>
      </c>
      <c r="I32" s="75"/>
    </row>
    <row r="33" spans="4:37" hidden="1" x14ac:dyDescent="0.25">
      <c r="J33" s="919">
        <f>J21+K21</f>
        <v>150482501.17000002</v>
      </c>
      <c r="K33" s="919"/>
      <c r="L33" s="503"/>
      <c r="N33" s="75"/>
      <c r="W33" s="919">
        <f>W21+Y21</f>
        <v>203416841.70439848</v>
      </c>
      <c r="X33" s="919"/>
      <c r="Y33" s="919"/>
    </row>
    <row r="34" spans="4:37" x14ac:dyDescent="0.25">
      <c r="I34" s="75"/>
      <c r="K34" s="75"/>
      <c r="L34" s="75"/>
      <c r="AJ34" s="75"/>
      <c r="AK34" s="75"/>
    </row>
    <row r="36" spans="4:37" x14ac:dyDescent="0.25">
      <c r="D36" s="75"/>
      <c r="J36" s="75"/>
      <c r="N36" s="75"/>
    </row>
    <row r="39" spans="4:37" x14ac:dyDescent="0.25">
      <c r="J39" s="75"/>
    </row>
  </sheetData>
  <mergeCells count="28">
    <mergeCell ref="AF7:AF9"/>
    <mergeCell ref="AC7:AC9"/>
    <mergeCell ref="AB2:AC2"/>
    <mergeCell ref="AB3:AC3"/>
    <mergeCell ref="J33:K33"/>
    <mergeCell ref="W33:Y33"/>
    <mergeCell ref="AL7:AL9"/>
    <mergeCell ref="AD4:AJ4"/>
    <mergeCell ref="A5:Y5"/>
    <mergeCell ref="A6:E6"/>
    <mergeCell ref="A7:A9"/>
    <mergeCell ref="F7:F9"/>
    <mergeCell ref="AE7:AE9"/>
    <mergeCell ref="J8:M8"/>
    <mergeCell ref="AI7:AI9"/>
    <mergeCell ref="AA8:AB8"/>
    <mergeCell ref="Z8:Z9"/>
    <mergeCell ref="AG7:AG9"/>
    <mergeCell ref="AH7:AH9"/>
    <mergeCell ref="X8:Y8"/>
    <mergeCell ref="W8:W9"/>
    <mergeCell ref="T8:T9"/>
    <mergeCell ref="B7:E7"/>
    <mergeCell ref="G7:N7"/>
    <mergeCell ref="G8:I8"/>
    <mergeCell ref="P7:S7"/>
    <mergeCell ref="T7:AB7"/>
    <mergeCell ref="V8:V9"/>
  </mergeCells>
  <pageMargins left="0" right="0" top="0.55118110236220474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66"/>
  <sheetViews>
    <sheetView workbookViewId="0">
      <selection activeCell="BW11" sqref="BW11"/>
    </sheetView>
  </sheetViews>
  <sheetFormatPr defaultColWidth="9.109375" defaultRowHeight="13.8" x14ac:dyDescent="0.25"/>
  <cols>
    <col min="1" max="1" width="14" style="1" customWidth="1"/>
    <col min="2" max="2" width="22.33203125" style="1" customWidth="1"/>
    <col min="3" max="3" width="9" style="1" customWidth="1"/>
    <col min="4" max="4" width="11.109375" style="1" customWidth="1"/>
    <col min="5" max="5" width="18.33203125" style="1" hidden="1" customWidth="1"/>
    <col min="6" max="6" width="13.33203125" style="1" hidden="1" customWidth="1"/>
    <col min="7" max="7" width="11.109375" style="1" customWidth="1"/>
    <col min="8" max="8" width="11.44140625" style="1" customWidth="1"/>
    <col min="9" max="9" width="9.5546875" style="1" customWidth="1"/>
    <col min="10" max="10" width="13.33203125" style="1" customWidth="1"/>
    <col min="11" max="11" width="9.6640625" style="1" customWidth="1"/>
    <col min="12" max="12" width="13.44140625" style="1" customWidth="1"/>
    <col min="13" max="13" width="10.109375" style="1" customWidth="1"/>
    <col min="14" max="14" width="13.5546875" style="1" customWidth="1"/>
    <col min="15" max="15" width="5.6640625" style="1" customWidth="1"/>
    <col min="16" max="16" width="7.21875" style="1" hidden="1" customWidth="1"/>
    <col min="17" max="17" width="9.44140625" style="1" hidden="1" customWidth="1"/>
    <col min="18" max="18" width="9.88671875" style="1" hidden="1" customWidth="1"/>
    <col min="19" max="19" width="13.33203125" style="1" hidden="1" customWidth="1"/>
    <col min="20" max="20" width="5.33203125" style="1" hidden="1" customWidth="1"/>
    <col min="21" max="21" width="9.109375" style="1" hidden="1" customWidth="1"/>
    <col min="22" max="22" width="11.33203125" style="1" hidden="1" customWidth="1"/>
    <col min="23" max="23" width="12.5546875" style="1" hidden="1" customWidth="1"/>
    <col min="24" max="24" width="5.33203125" style="1" hidden="1" customWidth="1"/>
    <col min="25" max="25" width="8.88671875" style="1" hidden="1" customWidth="1"/>
    <col min="26" max="27" width="12.6640625" style="1" hidden="1" customWidth="1"/>
    <col min="28" max="29" width="5.33203125" style="1" hidden="1" customWidth="1"/>
    <col min="30" max="30" width="12" style="1" hidden="1" customWidth="1"/>
    <col min="31" max="31" width="10.5546875" style="1" hidden="1" customWidth="1"/>
    <col min="32" max="32" width="11.33203125" style="1" hidden="1" customWidth="1"/>
    <col min="33" max="33" width="10.33203125" style="1" hidden="1" customWidth="1"/>
    <col min="34" max="34" width="10.5546875" style="1" hidden="1" customWidth="1"/>
    <col min="35" max="35" width="13.109375" style="1" hidden="1" customWidth="1"/>
    <col min="36" max="36" width="11.109375" style="1" hidden="1" customWidth="1"/>
    <col min="37" max="37" width="10.6640625" style="1" hidden="1" customWidth="1"/>
    <col min="38" max="38" width="12.33203125" style="1" hidden="1" customWidth="1"/>
    <col min="39" max="39" width="5.5546875" style="1" hidden="1" customWidth="1"/>
    <col min="40" max="40" width="9" style="1" hidden="1" customWidth="1"/>
    <col min="41" max="41" width="12.33203125" style="1" hidden="1" customWidth="1"/>
    <col min="42" max="42" width="10.44140625" style="1" hidden="1" customWidth="1"/>
    <col min="43" max="43" width="11.6640625" style="1" hidden="1" customWidth="1"/>
    <col min="44" max="44" width="9.33203125" style="1" hidden="1" customWidth="1"/>
    <col min="45" max="45" width="11.6640625" style="1" hidden="1" customWidth="1"/>
    <col min="46" max="46" width="9.109375" style="1" hidden="1" customWidth="1"/>
    <col min="47" max="47" width="12.88671875" style="1" hidden="1" customWidth="1"/>
    <col min="48" max="48" width="10.33203125" style="1" hidden="1" customWidth="1"/>
    <col min="49" max="49" width="11.88671875" style="1" hidden="1" customWidth="1"/>
    <col min="50" max="50" width="10.6640625" style="1" hidden="1" customWidth="1"/>
    <col min="51" max="51" width="13" style="1" hidden="1" customWidth="1"/>
    <col min="52" max="52" width="8.6640625" style="1" hidden="1" customWidth="1"/>
    <col min="53" max="53" width="4.6640625" style="1" customWidth="1"/>
    <col min="54" max="54" width="10.44140625" style="1" hidden="1" customWidth="1"/>
    <col min="55" max="55" width="10.109375" style="1" hidden="1" customWidth="1"/>
    <col min="56" max="56" width="14" style="1" hidden="1" customWidth="1"/>
    <col min="57" max="57" width="6.6640625" style="1" hidden="1" customWidth="1"/>
    <col min="58" max="58" width="8.44140625" style="1" hidden="1" customWidth="1"/>
    <col min="59" max="59" width="8.88671875" style="1" hidden="1" customWidth="1"/>
    <col min="60" max="60" width="10.33203125" style="1" hidden="1" customWidth="1"/>
    <col min="61" max="61" width="5.33203125" style="1" hidden="1" customWidth="1"/>
    <col min="62" max="62" width="7.33203125" style="1" hidden="1" customWidth="1"/>
    <col min="63" max="63" width="9" style="1" hidden="1" customWidth="1"/>
    <col min="64" max="64" width="11.33203125" style="1" hidden="1" customWidth="1"/>
    <col min="65" max="65" width="5.33203125" style="1" customWidth="1"/>
    <col min="66" max="66" width="12.5546875" style="1" hidden="1" customWidth="1"/>
    <col min="67" max="67" width="10.77734375" style="1" hidden="1" customWidth="1"/>
    <col min="68" max="68" width="11.88671875" style="1" hidden="1" customWidth="1"/>
    <col min="69" max="69" width="7.88671875" style="1" hidden="1" customWidth="1"/>
    <col min="70" max="70" width="4" style="1" hidden="1" customWidth="1"/>
    <col min="71" max="71" width="11.88671875" style="1" hidden="1" customWidth="1"/>
    <col min="72" max="72" width="10.5546875" style="1" hidden="1" customWidth="1"/>
    <col min="73" max="73" width="12.33203125" style="1" hidden="1" customWidth="1"/>
    <col min="74" max="74" width="6.6640625" style="1" hidden="1" customWidth="1"/>
    <col min="75" max="80" width="5.33203125" style="1" customWidth="1"/>
    <col min="81" max="81" width="6.5546875" style="1" customWidth="1"/>
    <col min="82" max="82" width="9.88671875" style="1" hidden="1" customWidth="1"/>
    <col min="83" max="83" width="8" style="1" hidden="1" customWidth="1"/>
    <col min="84" max="84" width="11.6640625" style="1" hidden="1" customWidth="1"/>
    <col min="85" max="85" width="3.6640625" style="1" hidden="1" customWidth="1"/>
    <col min="86" max="86" width="4.88671875" style="1" hidden="1" customWidth="1"/>
    <col min="87" max="87" width="14.109375" style="1" hidden="1" customWidth="1"/>
    <col min="88" max="88" width="13" style="1" hidden="1" customWidth="1"/>
    <col min="89" max="89" width="10.88671875" style="1" hidden="1" customWidth="1"/>
    <col min="90" max="90" width="11.44140625" style="1" hidden="1" customWidth="1"/>
    <col min="91" max="91" width="5.33203125" style="1" hidden="1" customWidth="1"/>
    <col min="92" max="92" width="11.6640625" style="1" hidden="1" customWidth="1"/>
    <col min="93" max="93" width="12.33203125" style="1" hidden="1" customWidth="1"/>
    <col min="94" max="94" width="10" style="1" hidden="1" customWidth="1"/>
    <col min="95" max="95" width="15.6640625" style="1" hidden="1" customWidth="1"/>
    <col min="96" max="96" width="15.33203125" style="1" hidden="1" customWidth="1"/>
    <col min="97" max="98" width="12.33203125" style="1" hidden="1" customWidth="1"/>
    <col min="99" max="99" width="12.44140625" style="1" hidden="1" customWidth="1"/>
    <col min="100" max="100" width="25.88671875" style="1" hidden="1" customWidth="1"/>
    <col min="101" max="101" width="13.5546875" style="1" hidden="1" customWidth="1"/>
    <col min="102" max="102" width="10.5546875" style="1" hidden="1" customWidth="1"/>
    <col min="103" max="103" width="9.88671875" style="1" hidden="1" customWidth="1"/>
    <col min="104" max="104" width="9" style="1" hidden="1" customWidth="1"/>
    <col min="105" max="105" width="11.33203125" style="1" hidden="1" customWidth="1"/>
    <col min="106" max="106" width="10.109375" style="1" hidden="1" customWidth="1"/>
    <col min="107" max="107" width="15.44140625" style="1" hidden="1" customWidth="1"/>
    <col min="108" max="108" width="7.88671875" style="1" hidden="1" customWidth="1"/>
    <col min="109" max="109" width="12.33203125" style="1" hidden="1" customWidth="1"/>
    <col min="110" max="110" width="13.33203125" style="1" hidden="1" customWidth="1"/>
    <col min="111" max="111" width="12.33203125" style="1" hidden="1" customWidth="1"/>
    <col min="112" max="112" width="11.44140625" style="1" hidden="1" customWidth="1"/>
    <col min="113" max="113" width="17" style="1" hidden="1" customWidth="1"/>
    <col min="114" max="114" width="11.109375" style="1" hidden="1" customWidth="1"/>
    <col min="115" max="117" width="10.33203125" style="1" hidden="1" customWidth="1"/>
    <col min="118" max="118" width="9.6640625" style="1" hidden="1" customWidth="1"/>
    <col min="119" max="119" width="9.44140625" style="1" hidden="1" customWidth="1"/>
    <col min="120" max="120" width="3.6640625" style="1" hidden="1" customWidth="1"/>
    <col min="121" max="121" width="12.6640625" style="1" hidden="1" customWidth="1"/>
    <col min="122" max="122" width="11.6640625" style="1" hidden="1" customWidth="1"/>
    <col min="123" max="125" width="10.33203125" style="1" hidden="1" customWidth="1"/>
    <col min="126" max="126" width="11" style="1" hidden="1" customWidth="1"/>
    <col min="127" max="127" width="10.33203125" style="1" hidden="1" customWidth="1"/>
    <col min="128" max="128" width="9.88671875" style="1" hidden="1" customWidth="1"/>
    <col min="129" max="129" width="10.33203125" style="1" hidden="1" customWidth="1"/>
    <col min="130" max="130" width="9.88671875" style="1" hidden="1" customWidth="1"/>
    <col min="131" max="131" width="3.88671875" style="1" hidden="1" customWidth="1"/>
    <col min="132" max="132" width="14.6640625" style="1" hidden="1" customWidth="1"/>
    <col min="133" max="133" width="12.5546875" style="1" hidden="1" customWidth="1"/>
    <col min="134" max="142" width="9.88671875" style="1" hidden="1" customWidth="1"/>
    <col min="143" max="143" width="3.5546875" style="1" hidden="1" customWidth="1"/>
    <col min="144" max="144" width="13.88671875" style="1" hidden="1" customWidth="1"/>
    <col min="145" max="145" width="13.6640625" style="1" hidden="1" customWidth="1"/>
    <col min="146" max="146" width="10" style="1" hidden="1" customWidth="1"/>
    <col min="147" max="147" width="9.6640625" style="1" hidden="1" customWidth="1"/>
    <col min="148" max="148" width="9.88671875" style="1" hidden="1" customWidth="1"/>
    <col min="149" max="149" width="11.33203125" style="1" hidden="1" customWidth="1"/>
    <col min="150" max="150" width="10.109375" style="1" hidden="1" customWidth="1"/>
    <col min="151" max="151" width="11.33203125" style="1" hidden="1" customWidth="1"/>
    <col min="152" max="152" width="9.33203125" style="1" hidden="1" customWidth="1"/>
    <col min="153" max="153" width="9.88671875" style="1" hidden="1" customWidth="1"/>
    <col min="154" max="154" width="8.44140625" style="1" hidden="1" customWidth="1"/>
    <col min="155" max="155" width="7.6640625" style="1" hidden="1" customWidth="1"/>
    <col min="156" max="156" width="11.33203125" style="1" hidden="1" customWidth="1"/>
    <col min="157" max="157" width="10.109375" style="1" hidden="1" customWidth="1"/>
    <col min="158" max="158" width="9.88671875" style="1" hidden="1" customWidth="1"/>
    <col min="159" max="159" width="10.88671875" style="1" hidden="1" customWidth="1"/>
    <col min="160" max="160" width="12.33203125" style="1" hidden="1" customWidth="1"/>
    <col min="161" max="161" width="11" style="1" hidden="1" customWidth="1"/>
    <col min="162" max="162" width="12.44140625" style="1" hidden="1" customWidth="1"/>
    <col min="163" max="163" width="12.6640625" style="1" hidden="1" customWidth="1"/>
    <col min="164" max="164" width="10.33203125" style="1" customWidth="1"/>
    <col min="165" max="167" width="9.88671875" style="1" customWidth="1"/>
    <col min="168" max="168" width="10.6640625" style="1" customWidth="1"/>
    <col min="169" max="178" width="9.88671875" style="1" customWidth="1"/>
    <col min="179" max="179" width="8.33203125" style="1" customWidth="1"/>
    <col min="180" max="180" width="8.33203125" style="1" hidden="1" customWidth="1"/>
    <col min="181" max="181" width="12.33203125" style="1" hidden="1" customWidth="1"/>
    <col min="182" max="182" width="12.88671875" style="1" hidden="1" customWidth="1"/>
    <col min="183" max="183" width="12.109375" style="1" hidden="1" customWidth="1"/>
    <col min="184" max="184" width="12.5546875" style="1" hidden="1" customWidth="1"/>
    <col min="185" max="185" width="7.44140625" style="1" hidden="1" customWidth="1"/>
    <col min="186" max="186" width="9.44140625" style="1" hidden="1" customWidth="1"/>
    <col min="187" max="187" width="10.88671875" style="1" hidden="1" customWidth="1"/>
    <col min="188" max="188" width="12.6640625" style="1" hidden="1" customWidth="1"/>
    <col min="189" max="189" width="11.88671875" style="1" hidden="1" customWidth="1"/>
    <col min="190" max="190" width="17.5546875" style="1" hidden="1" customWidth="1"/>
    <col min="191" max="191" width="13.5546875" style="1" hidden="1" customWidth="1"/>
    <col min="192" max="192" width="12.6640625" style="1" hidden="1" customWidth="1"/>
    <col min="193" max="193" width="15.33203125" style="1" hidden="1" customWidth="1"/>
    <col min="194" max="194" width="12.6640625" style="1" hidden="1" customWidth="1"/>
    <col min="195" max="195" width="13.6640625" style="1" hidden="1" customWidth="1"/>
    <col min="196" max="196" width="5.109375" style="1" hidden="1" customWidth="1"/>
    <col min="197" max="197" width="12.33203125" style="1" hidden="1" customWidth="1"/>
    <col min="198" max="199" width="12.6640625" style="1" hidden="1" customWidth="1"/>
    <col min="200" max="200" width="14.5546875" style="1" hidden="1" customWidth="1"/>
    <col min="201" max="205" width="12.6640625" style="1" hidden="1" customWidth="1"/>
    <col min="206" max="206" width="12.33203125" style="1" hidden="1" customWidth="1"/>
    <col min="207" max="207" width="10.109375" style="1" hidden="1" customWidth="1"/>
    <col min="208" max="210" width="12.6640625" style="1" hidden="1" customWidth="1"/>
    <col min="211" max="211" width="5.6640625" style="1" hidden="1" customWidth="1"/>
    <col min="212" max="212" width="14.33203125" style="1" hidden="1" customWidth="1"/>
    <col min="213" max="213" width="10.88671875" style="1" hidden="1" customWidth="1"/>
    <col min="214" max="214" width="12" style="1" hidden="1" customWidth="1"/>
    <col min="215" max="215" width="5.88671875" style="1" hidden="1" customWidth="1"/>
    <col min="216" max="216" width="14.6640625" style="1" hidden="1" customWidth="1"/>
    <col min="217" max="217" width="10.88671875" style="1" hidden="1" customWidth="1"/>
    <col min="218" max="218" width="12.5546875" style="1" hidden="1" customWidth="1"/>
    <col min="219" max="219" width="4.88671875" style="1" hidden="1" customWidth="1"/>
    <col min="220" max="220" width="16.33203125" style="1" hidden="1" customWidth="1"/>
    <col min="221" max="221" width="14.33203125" style="1" hidden="1" customWidth="1"/>
    <col min="222" max="222" width="12.88671875" style="1" hidden="1" customWidth="1"/>
    <col min="223" max="223" width="10.33203125" style="1" hidden="1" customWidth="1"/>
    <col min="224" max="224" width="7" style="1" hidden="1" customWidth="1"/>
    <col min="225" max="225" width="17.33203125" style="1" hidden="1" customWidth="1"/>
    <col min="226" max="226" width="15" style="1" hidden="1" customWidth="1"/>
    <col min="227" max="227" width="12.88671875" style="1" hidden="1" customWidth="1"/>
    <col min="228" max="228" width="15.44140625" style="1" hidden="1" customWidth="1"/>
    <col min="229" max="229" width="15.109375" style="1" hidden="1" customWidth="1"/>
    <col min="230" max="230" width="13.6640625" style="1" hidden="1" customWidth="1"/>
    <col min="231" max="231" width="5.6640625" style="1" hidden="1" customWidth="1"/>
    <col min="232" max="232" width="13.5546875" style="1" hidden="1" customWidth="1"/>
    <col min="233" max="233" width="18" style="1" hidden="1" customWidth="1"/>
    <col min="234" max="234" width="16.88671875" style="1" hidden="1" customWidth="1"/>
    <col min="235" max="235" width="14" style="1" hidden="1" customWidth="1"/>
    <col min="236" max="236" width="10.33203125" style="1" hidden="1" customWidth="1"/>
    <col min="237" max="237" width="10.88671875" style="1" hidden="1" customWidth="1"/>
    <col min="238" max="238" width="8.44140625" style="1" hidden="1" customWidth="1"/>
    <col min="239" max="239" width="6.88671875" style="1" hidden="1" customWidth="1"/>
    <col min="240" max="240" width="7.109375" style="1" hidden="1" customWidth="1"/>
    <col min="241" max="241" width="7.6640625" style="1" hidden="1" customWidth="1"/>
    <col min="242" max="242" width="10.88671875" style="1" hidden="1" customWidth="1"/>
    <col min="243" max="243" width="12.44140625" style="1" hidden="1" customWidth="1"/>
    <col min="244" max="244" width="11.44140625" style="1" hidden="1" customWidth="1"/>
    <col min="245" max="245" width="12" style="1" hidden="1" customWidth="1"/>
    <col min="246" max="246" width="11.109375" style="1" hidden="1" customWidth="1"/>
    <col min="247" max="247" width="12" style="1" hidden="1" customWidth="1"/>
    <col min="248" max="248" width="12.33203125" style="1" hidden="1" customWidth="1"/>
    <col min="249" max="250" width="13" style="1" hidden="1" customWidth="1"/>
    <col min="251" max="251" width="4.33203125" style="1" hidden="1" customWidth="1"/>
    <col min="252" max="252" width="12" style="259" hidden="1" customWidth="1"/>
    <col min="253" max="253" width="9.109375" style="259" hidden="1" customWidth="1"/>
    <col min="254" max="254" width="9.5546875" style="259" hidden="1" customWidth="1"/>
    <col min="255" max="255" width="10.6640625" style="259" hidden="1" customWidth="1"/>
    <col min="256" max="256" width="6.5546875" style="259" hidden="1" customWidth="1"/>
    <col min="257" max="257" width="10.33203125" style="259" hidden="1" customWidth="1"/>
    <col min="258" max="258" width="10.6640625" style="259" hidden="1" customWidth="1"/>
    <col min="259" max="259" width="7.109375" style="259" hidden="1" customWidth="1"/>
    <col min="260" max="260" width="1.33203125" style="259" hidden="1" customWidth="1"/>
    <col min="261" max="261" width="10" style="259" hidden="1" customWidth="1"/>
    <col min="262" max="262" width="12.88671875" style="259" hidden="1" customWidth="1"/>
    <col min="263" max="263" width="11.33203125" style="259" hidden="1" customWidth="1"/>
    <col min="264" max="264" width="12.6640625" style="1" hidden="1" customWidth="1"/>
    <col min="265" max="265" width="9.6640625" style="1" hidden="1" customWidth="1"/>
    <col min="266" max="266" width="0" style="1" hidden="1" customWidth="1"/>
    <col min="267" max="16384" width="9.109375" style="1"/>
  </cols>
  <sheetData>
    <row r="1" spans="1:266" ht="9.6" customHeight="1" x14ac:dyDescent="0.25">
      <c r="L1" s="3"/>
      <c r="M1" s="3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517"/>
      <c r="CN1" s="517"/>
      <c r="CO1" s="517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517"/>
      <c r="DE1" s="517"/>
      <c r="DF1" s="517"/>
      <c r="DG1" s="517"/>
      <c r="DH1" s="517"/>
      <c r="DI1" s="517"/>
      <c r="DJ1" s="156"/>
      <c r="DK1" s="156"/>
      <c r="DL1" s="156"/>
      <c r="DM1" s="156"/>
      <c r="DN1" s="156"/>
      <c r="DO1" s="156"/>
      <c r="DP1" s="517"/>
      <c r="DQ1" s="517"/>
      <c r="DR1" s="517"/>
      <c r="DS1" s="517"/>
      <c r="DT1" s="517"/>
      <c r="DU1" s="517"/>
      <c r="DV1" s="517"/>
      <c r="DW1" s="517"/>
      <c r="DX1" s="517"/>
      <c r="DY1" s="517"/>
      <c r="DZ1" s="517"/>
      <c r="EA1" s="517"/>
      <c r="EB1" s="517"/>
      <c r="EC1" s="517"/>
      <c r="ED1" s="517"/>
      <c r="EE1" s="517"/>
      <c r="EF1" s="517"/>
      <c r="EG1" s="517"/>
      <c r="EH1" s="517"/>
      <c r="EI1" s="517"/>
      <c r="EJ1" s="517"/>
      <c r="EK1" s="517"/>
      <c r="EL1" s="517"/>
      <c r="EM1" s="517"/>
      <c r="EN1" s="517"/>
      <c r="EO1" s="517"/>
      <c r="EP1" s="517"/>
      <c r="EQ1" s="517"/>
      <c r="ER1" s="517"/>
      <c r="ES1" s="517"/>
      <c r="ET1" s="517"/>
      <c r="EU1" s="517"/>
      <c r="EV1" s="517"/>
      <c r="EW1" s="517"/>
      <c r="EX1" s="517"/>
      <c r="EY1" s="517"/>
      <c r="EZ1" s="517"/>
      <c r="FA1" s="517"/>
      <c r="FB1" s="517"/>
      <c r="FC1" s="517"/>
      <c r="FD1" s="517"/>
      <c r="FE1" s="517"/>
      <c r="FF1" s="517"/>
      <c r="FG1" s="517"/>
      <c r="FH1" s="517"/>
      <c r="FI1" s="517"/>
      <c r="FJ1" s="517"/>
      <c r="FK1" s="517"/>
      <c r="FL1" s="517"/>
      <c r="FM1" s="517"/>
      <c r="FN1" s="517"/>
      <c r="FO1" s="517"/>
      <c r="FP1" s="517"/>
      <c r="FQ1" s="517"/>
      <c r="FR1" s="517"/>
      <c r="FS1" s="517"/>
      <c r="FT1" s="517"/>
      <c r="FU1" s="517"/>
      <c r="FV1" s="517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J1" s="4"/>
    </row>
    <row r="2" spans="1:266" x14ac:dyDescent="0.25">
      <c r="L2" s="318" t="s">
        <v>0</v>
      </c>
      <c r="M2" s="318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517"/>
      <c r="CN2" s="517"/>
      <c r="CO2" s="517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517"/>
      <c r="DE2" s="517"/>
      <c r="DF2" s="517"/>
      <c r="DG2" s="517"/>
      <c r="DH2" s="517"/>
      <c r="DI2" s="517"/>
      <c r="DJ2" s="156"/>
      <c r="DK2" s="156"/>
      <c r="DL2" s="156"/>
      <c r="DM2" s="156"/>
      <c r="DN2" s="156"/>
      <c r="DO2" s="156"/>
      <c r="DP2" s="517"/>
      <c r="DQ2" s="517"/>
      <c r="DR2" s="517"/>
      <c r="DS2" s="517"/>
      <c r="DT2" s="517"/>
      <c r="DU2" s="517"/>
      <c r="DV2" s="517"/>
      <c r="DW2" s="517"/>
      <c r="DX2" s="517"/>
      <c r="DY2" s="517"/>
      <c r="DZ2" s="517"/>
      <c r="EA2" s="517"/>
      <c r="EB2" s="517"/>
      <c r="EC2" s="517"/>
      <c r="ED2" s="517"/>
      <c r="EE2" s="517"/>
      <c r="EF2" s="517"/>
      <c r="EG2" s="517"/>
      <c r="EH2" s="517"/>
      <c r="EI2" s="517"/>
      <c r="EJ2" s="517"/>
      <c r="EK2" s="517"/>
      <c r="EL2" s="517"/>
      <c r="EM2" s="517"/>
      <c r="EN2" s="517"/>
      <c r="EO2" s="517"/>
      <c r="EP2" s="517"/>
      <c r="EQ2" s="517"/>
      <c r="ER2" s="517"/>
      <c r="ES2" s="517"/>
      <c r="ET2" s="517"/>
      <c r="EU2" s="517"/>
      <c r="EV2" s="517"/>
      <c r="EW2" s="517"/>
      <c r="EX2" s="517"/>
      <c r="EY2" s="517"/>
      <c r="EZ2" s="517"/>
      <c r="FA2" s="517"/>
      <c r="FB2" s="517"/>
      <c r="FC2" s="517"/>
      <c r="FD2" s="517"/>
      <c r="FE2" s="517"/>
      <c r="FF2" s="517"/>
      <c r="FG2" s="517"/>
      <c r="FH2" s="517"/>
      <c r="FI2" s="517"/>
      <c r="FJ2" s="517"/>
      <c r="FK2" s="517"/>
      <c r="FL2" s="517"/>
      <c r="FM2" s="517"/>
      <c r="FN2" s="517"/>
      <c r="FO2" s="517"/>
      <c r="FP2" s="517"/>
      <c r="FQ2" s="517"/>
      <c r="FR2" s="517"/>
      <c r="FS2" s="517"/>
      <c r="FT2" s="517"/>
      <c r="FU2" s="517"/>
      <c r="FV2" s="517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156"/>
      <c r="GM2" s="156"/>
      <c r="GN2" s="156"/>
      <c r="GO2" s="156"/>
      <c r="GP2" s="156"/>
      <c r="GQ2" s="156"/>
      <c r="GR2" s="156"/>
      <c r="GS2" s="156"/>
      <c r="GT2" s="156"/>
      <c r="GU2" s="156"/>
      <c r="GV2" s="156"/>
      <c r="GW2" s="156"/>
      <c r="GX2" s="156"/>
      <c r="GY2" s="156"/>
      <c r="GZ2" s="156"/>
      <c r="HA2" s="156"/>
      <c r="HB2" s="156"/>
      <c r="HC2" s="156"/>
      <c r="HD2" s="156"/>
      <c r="HE2" s="156"/>
      <c r="HF2" s="156"/>
      <c r="HG2" s="156"/>
      <c r="HH2" s="156"/>
      <c r="HI2" s="156"/>
      <c r="HJ2" s="156"/>
      <c r="HK2" s="156"/>
      <c r="HL2" s="156"/>
      <c r="HM2" s="156"/>
      <c r="HN2" s="156"/>
      <c r="HO2" s="156"/>
      <c r="HP2" s="156"/>
      <c r="HQ2" s="156"/>
      <c r="HR2" s="156"/>
      <c r="HS2" s="156"/>
      <c r="HT2" s="156"/>
      <c r="HU2" s="156"/>
      <c r="HV2" s="156"/>
      <c r="HW2" s="156"/>
      <c r="HX2" s="156"/>
      <c r="HY2" s="156"/>
      <c r="HZ2" s="156"/>
      <c r="IA2" s="156"/>
      <c r="IB2" s="156"/>
      <c r="IC2" s="156"/>
      <c r="ID2" s="156"/>
      <c r="IE2" s="156"/>
      <c r="IJ2" s="4"/>
    </row>
    <row r="3" spans="1:266" x14ac:dyDescent="0.25">
      <c r="L3" s="736" t="s">
        <v>627</v>
      </c>
      <c r="M3" s="318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517"/>
      <c r="CN3" s="517"/>
      <c r="CO3" s="517"/>
      <c r="CP3" s="156"/>
      <c r="CQ3" s="156"/>
      <c r="CR3" s="156"/>
      <c r="CS3" s="156"/>
      <c r="CT3" s="156"/>
      <c r="CU3" s="156"/>
      <c r="CV3" s="156"/>
      <c r="CW3" s="156"/>
      <c r="CX3" s="156"/>
      <c r="CY3" s="156"/>
      <c r="CZ3" s="156"/>
      <c r="DA3" s="156"/>
      <c r="DB3" s="156"/>
      <c r="DC3" s="156"/>
      <c r="DD3" s="517"/>
      <c r="DE3" s="517"/>
      <c r="DF3" s="517"/>
      <c r="DG3" s="517"/>
      <c r="DH3" s="517"/>
      <c r="DI3" s="517"/>
      <c r="DJ3" s="156"/>
      <c r="DK3" s="156"/>
      <c r="DL3" s="156"/>
      <c r="DM3" s="156"/>
      <c r="DN3" s="156"/>
      <c r="DO3" s="156"/>
      <c r="DP3" s="517"/>
      <c r="DQ3" s="517"/>
      <c r="DR3" s="517"/>
      <c r="DS3" s="517"/>
      <c r="DT3" s="517"/>
      <c r="DU3" s="517"/>
      <c r="DV3" s="517"/>
      <c r="DW3" s="517"/>
      <c r="DX3" s="517"/>
      <c r="DY3" s="517"/>
      <c r="DZ3" s="517"/>
      <c r="EA3" s="517"/>
      <c r="EB3" s="517"/>
      <c r="EC3" s="517"/>
      <c r="ED3" s="517"/>
      <c r="EE3" s="517"/>
      <c r="EF3" s="517"/>
      <c r="EG3" s="517"/>
      <c r="EH3" s="517"/>
      <c r="EI3" s="517"/>
      <c r="EJ3" s="517"/>
      <c r="EK3" s="517"/>
      <c r="EL3" s="517"/>
      <c r="EM3" s="517"/>
      <c r="EN3" s="517"/>
      <c r="EO3" s="517"/>
      <c r="EP3" s="517"/>
      <c r="EQ3" s="517"/>
      <c r="ER3" s="517"/>
      <c r="ES3" s="517"/>
      <c r="ET3" s="517"/>
      <c r="EU3" s="517"/>
      <c r="EV3" s="517"/>
      <c r="EW3" s="517"/>
      <c r="EX3" s="517"/>
      <c r="EY3" s="517"/>
      <c r="EZ3" s="517"/>
      <c r="FA3" s="517"/>
      <c r="FB3" s="517"/>
      <c r="FC3" s="517"/>
      <c r="FD3" s="517"/>
      <c r="FE3" s="517"/>
      <c r="FF3" s="517"/>
      <c r="FG3" s="517"/>
      <c r="FH3" s="517"/>
      <c r="FI3" s="517"/>
      <c r="FJ3" s="517"/>
      <c r="FK3" s="517"/>
      <c r="FL3" s="517"/>
      <c r="FM3" s="517"/>
      <c r="FN3" s="517"/>
      <c r="FO3" s="517"/>
      <c r="FP3" s="517"/>
      <c r="FQ3" s="517"/>
      <c r="FR3" s="517"/>
      <c r="FS3" s="517"/>
      <c r="FT3" s="517"/>
      <c r="FU3" s="517"/>
      <c r="FV3" s="517"/>
      <c r="FW3" s="156"/>
      <c r="FX3" s="156"/>
      <c r="FY3" s="156"/>
      <c r="FZ3" s="156"/>
      <c r="GA3" s="156"/>
      <c r="GB3" s="156"/>
      <c r="GC3" s="156"/>
      <c r="GD3" s="156"/>
      <c r="GE3" s="156"/>
      <c r="GF3" s="156"/>
      <c r="GG3" s="156"/>
      <c r="GH3" s="156"/>
      <c r="GI3" s="156"/>
      <c r="GJ3" s="156"/>
      <c r="GK3" s="156"/>
      <c r="GL3" s="156"/>
      <c r="GM3" s="156"/>
      <c r="GN3" s="156"/>
      <c r="GO3" s="156"/>
      <c r="GP3" s="156"/>
      <c r="GQ3" s="156"/>
      <c r="GR3" s="156"/>
      <c r="GS3" s="156"/>
      <c r="GT3" s="156"/>
      <c r="GU3" s="156"/>
      <c r="GV3" s="156"/>
      <c r="GW3" s="156"/>
      <c r="GX3" s="156"/>
      <c r="GY3" s="156"/>
      <c r="GZ3" s="156"/>
      <c r="HA3" s="156"/>
      <c r="HB3" s="156"/>
      <c r="HC3" s="156"/>
      <c r="HD3" s="156"/>
      <c r="HE3" s="156"/>
      <c r="HF3" s="156"/>
      <c r="HG3" s="156"/>
      <c r="HH3" s="156"/>
      <c r="HI3" s="156"/>
      <c r="HJ3" s="156"/>
      <c r="HK3" s="156"/>
      <c r="HL3" s="156"/>
      <c r="HM3" s="156"/>
      <c r="HN3" s="156"/>
      <c r="HO3" s="156"/>
      <c r="HP3" s="156"/>
      <c r="HQ3" s="156"/>
      <c r="HR3" s="156"/>
      <c r="HS3" s="156"/>
      <c r="HT3" s="156"/>
      <c r="HU3" s="156"/>
      <c r="HV3" s="156"/>
      <c r="HW3" s="156"/>
      <c r="HX3" s="156"/>
      <c r="HY3" s="156"/>
      <c r="HZ3" s="156"/>
      <c r="IA3" s="156"/>
      <c r="IB3" s="156"/>
      <c r="IC3" s="156"/>
      <c r="ID3" s="156"/>
      <c r="IE3" s="156"/>
      <c r="IJ3" s="4"/>
    </row>
    <row r="4" spans="1:266" ht="18.600000000000001" customHeight="1" x14ac:dyDescent="0.25">
      <c r="A4" s="924" t="s">
        <v>592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725"/>
      <c r="P4" s="725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5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25"/>
      <c r="BM4" s="725"/>
      <c r="BN4" s="741"/>
      <c r="BO4" s="741"/>
      <c r="BP4" s="741"/>
      <c r="BQ4" s="741"/>
      <c r="BR4" s="765"/>
      <c r="BS4" s="741"/>
      <c r="BT4" s="741"/>
      <c r="BU4" s="741"/>
      <c r="BV4" s="741"/>
      <c r="BW4" s="741"/>
      <c r="BX4" s="741"/>
      <c r="BY4" s="741"/>
      <c r="BZ4" s="741"/>
      <c r="CA4" s="725"/>
      <c r="CB4" s="725"/>
      <c r="CC4" s="725"/>
      <c r="CD4" s="725"/>
      <c r="CE4" s="725"/>
      <c r="CF4" s="725"/>
      <c r="CG4" s="725"/>
      <c r="CH4" s="725"/>
      <c r="CI4" s="725"/>
      <c r="CJ4" s="725"/>
      <c r="CK4" s="725"/>
      <c r="CL4" s="725"/>
      <c r="CM4" s="725"/>
      <c r="CN4" s="725"/>
      <c r="CO4" s="725"/>
      <c r="CP4" s="725"/>
      <c r="CQ4" s="725"/>
      <c r="CR4" s="725"/>
      <c r="CS4" s="725"/>
      <c r="CT4" s="725"/>
      <c r="CU4" s="725"/>
      <c r="CV4" s="725"/>
      <c r="CW4" s="725"/>
      <c r="CX4" s="725"/>
      <c r="CY4" s="725"/>
      <c r="CZ4" s="725"/>
      <c r="DA4" s="725"/>
      <c r="DB4" s="725"/>
      <c r="DC4" s="725"/>
      <c r="DD4" s="725"/>
      <c r="DE4" s="725"/>
      <c r="DF4" s="725"/>
      <c r="DG4" s="725"/>
      <c r="DH4" s="725"/>
      <c r="DI4" s="725"/>
      <c r="DJ4" s="725"/>
      <c r="DK4" s="725"/>
      <c r="DL4" s="725"/>
      <c r="DM4" s="725"/>
      <c r="DN4" s="725"/>
      <c r="DO4" s="725"/>
      <c r="DP4" s="725"/>
      <c r="DQ4" s="725"/>
      <c r="DR4" s="725"/>
      <c r="DS4" s="725"/>
      <c r="DT4" s="725"/>
      <c r="DU4" s="725"/>
      <c r="DV4" s="725"/>
      <c r="DW4" s="725"/>
      <c r="DX4" s="725"/>
      <c r="DY4" s="725"/>
      <c r="DZ4" s="725"/>
      <c r="EA4" s="725"/>
      <c r="EB4" s="725"/>
      <c r="EC4" s="725"/>
      <c r="ED4" s="725"/>
      <c r="EE4" s="725"/>
      <c r="EF4" s="725"/>
      <c r="EG4" s="725"/>
      <c r="EH4" s="725"/>
      <c r="EI4" s="725"/>
      <c r="EJ4" s="725"/>
      <c r="EK4" s="725"/>
      <c r="EL4" s="725"/>
      <c r="EM4" s="725"/>
      <c r="EN4" s="725"/>
      <c r="EO4" s="725"/>
      <c r="EP4" s="725"/>
      <c r="EQ4" s="725"/>
      <c r="ER4" s="725"/>
      <c r="ES4" s="725"/>
      <c r="ET4" s="725"/>
      <c r="EU4" s="725"/>
      <c r="EV4" s="725"/>
      <c r="EW4" s="725"/>
      <c r="EX4" s="725"/>
      <c r="EY4" s="725"/>
      <c r="EZ4" s="725"/>
      <c r="FA4" s="725"/>
      <c r="FB4" s="725"/>
      <c r="FC4" s="725"/>
      <c r="FD4" s="725"/>
      <c r="FE4" s="725"/>
      <c r="FF4" s="725" t="s">
        <v>436</v>
      </c>
      <c r="FG4" s="725"/>
      <c r="FH4" s="725"/>
      <c r="FI4" s="725"/>
      <c r="FJ4" s="725"/>
      <c r="FK4" s="725"/>
      <c r="FL4" s="725"/>
      <c r="FM4" s="725"/>
      <c r="FN4" s="725"/>
      <c r="FO4" s="725"/>
      <c r="FP4" s="725"/>
      <c r="FQ4" s="725"/>
      <c r="FR4" s="725"/>
      <c r="FS4" s="725"/>
      <c r="FT4" s="725"/>
      <c r="FU4" s="725"/>
      <c r="FV4" s="725"/>
      <c r="FW4" s="725"/>
      <c r="FX4" s="725"/>
      <c r="FY4" s="725"/>
      <c r="FZ4" s="725"/>
      <c r="GA4" s="725"/>
      <c r="GB4" s="725"/>
      <c r="GC4" s="725"/>
      <c r="GD4" s="725"/>
      <c r="GE4" s="725"/>
      <c r="GF4" s="725"/>
      <c r="GG4" s="725"/>
      <c r="GH4" s="725"/>
      <c r="GI4" s="725"/>
      <c r="GJ4" s="725"/>
      <c r="GK4" s="725"/>
      <c r="GL4" s="725"/>
      <c r="GM4" s="725"/>
      <c r="GN4" s="725"/>
      <c r="GO4" s="725"/>
      <c r="GP4" s="725"/>
      <c r="GQ4" s="725"/>
      <c r="GR4" s="725"/>
      <c r="GS4" s="725"/>
      <c r="GT4" s="725"/>
      <c r="GU4" s="725"/>
      <c r="GV4" s="725"/>
      <c r="GW4" s="725"/>
      <c r="GX4" s="725"/>
      <c r="GY4" s="725"/>
      <c r="GZ4" s="725"/>
      <c r="HA4" s="725"/>
      <c r="HB4" s="725"/>
      <c r="HC4" s="725"/>
      <c r="HD4" s="725"/>
      <c r="HE4" s="725"/>
      <c r="HF4" s="725"/>
      <c r="HG4" s="725"/>
      <c r="HH4" s="725"/>
      <c r="HI4" s="725"/>
      <c r="HJ4" s="725"/>
      <c r="HK4" s="725"/>
      <c r="HL4" s="725"/>
      <c r="HM4" s="725"/>
      <c r="HN4" s="725"/>
      <c r="HO4" s="725"/>
      <c r="HP4" s="725"/>
      <c r="HQ4" s="725"/>
      <c r="HR4" s="725"/>
      <c r="HS4" s="725"/>
      <c r="HT4" s="725"/>
      <c r="HU4" s="725"/>
      <c r="HV4" s="725"/>
      <c r="HW4" s="725"/>
      <c r="HX4" s="725"/>
      <c r="HY4" s="725"/>
      <c r="HZ4" s="725"/>
      <c r="IA4" s="725"/>
      <c r="IB4" s="725"/>
      <c r="IC4" s="725"/>
      <c r="ID4" s="725"/>
      <c r="IE4" s="725"/>
      <c r="IF4" s="160"/>
      <c r="IG4" s="160"/>
      <c r="IH4" s="160"/>
      <c r="II4" s="160"/>
      <c r="IJ4" s="160"/>
      <c r="IK4" s="160"/>
      <c r="IL4" s="160"/>
    </row>
    <row r="5" spans="1:266" x14ac:dyDescent="0.25">
      <c r="A5" s="725"/>
      <c r="B5" s="725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800"/>
      <c r="O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C5" s="725"/>
      <c r="AD5" s="725"/>
      <c r="AE5" s="725"/>
      <c r="AF5" s="725"/>
      <c r="AG5" s="725"/>
      <c r="AH5" s="725"/>
      <c r="AI5" s="725"/>
      <c r="AJ5" s="725"/>
      <c r="AK5" s="725"/>
      <c r="AL5" s="725"/>
      <c r="AM5" s="725"/>
      <c r="AN5" s="725"/>
      <c r="AO5" s="725"/>
      <c r="AP5" s="725"/>
      <c r="AQ5" s="725"/>
      <c r="AR5" s="725"/>
      <c r="AS5" s="725"/>
      <c r="AT5" s="725"/>
      <c r="AU5" s="725"/>
      <c r="AV5" s="725"/>
      <c r="AW5" s="725"/>
      <c r="AX5" s="725"/>
      <c r="AY5" s="725"/>
      <c r="AZ5" s="725"/>
      <c r="BA5" s="725"/>
      <c r="BB5" s="725"/>
      <c r="BC5" s="725"/>
      <c r="BD5" s="725"/>
      <c r="BE5" s="725"/>
      <c r="BF5" s="725"/>
      <c r="BG5" s="725"/>
      <c r="BH5" s="725"/>
      <c r="BI5" s="725"/>
      <c r="BJ5" s="725"/>
      <c r="BK5" s="725"/>
      <c r="BL5" s="725"/>
      <c r="BM5" s="725"/>
      <c r="BN5" s="741"/>
      <c r="BO5" s="741"/>
      <c r="BP5" s="741"/>
      <c r="BQ5" s="741"/>
      <c r="BR5" s="765"/>
      <c r="BS5" s="741"/>
      <c r="BT5" s="741"/>
      <c r="BU5" s="741"/>
      <c r="BV5" s="741"/>
      <c r="BW5" s="741"/>
      <c r="BX5" s="741"/>
      <c r="BY5" s="741"/>
      <c r="BZ5" s="741"/>
      <c r="CA5" s="725"/>
      <c r="CB5" s="725"/>
      <c r="CC5" s="725"/>
      <c r="CD5" s="725"/>
      <c r="CE5" s="725"/>
      <c r="CF5" s="725"/>
      <c r="CG5" s="725"/>
      <c r="CH5" s="725"/>
      <c r="CI5" s="725"/>
      <c r="CJ5" s="725"/>
      <c r="CK5" s="725"/>
      <c r="CL5" s="725"/>
      <c r="CM5" s="725"/>
      <c r="CN5" s="725"/>
      <c r="CO5" s="725"/>
      <c r="CP5" s="725"/>
      <c r="CQ5" s="725"/>
      <c r="CR5" s="725"/>
      <c r="CS5" s="725"/>
      <c r="CT5" s="725"/>
      <c r="CU5" s="725"/>
      <c r="CV5" s="725"/>
      <c r="CW5" s="725"/>
      <c r="CX5" s="725"/>
      <c r="CY5" s="725"/>
      <c r="CZ5" s="725"/>
      <c r="DA5" s="725"/>
      <c r="DB5" s="725"/>
      <c r="DC5" s="725"/>
      <c r="DD5" s="725"/>
      <c r="DE5" s="725"/>
      <c r="DF5" s="725"/>
      <c r="DG5" s="725"/>
      <c r="DH5" s="725"/>
      <c r="DI5" s="725"/>
      <c r="DJ5" s="725"/>
      <c r="DK5" s="725"/>
      <c r="DL5" s="725"/>
      <c r="DM5" s="725"/>
      <c r="DN5" s="725"/>
      <c r="DO5" s="725"/>
      <c r="DP5" s="725"/>
      <c r="DQ5" s="725"/>
      <c r="DR5" s="725"/>
      <c r="DS5" s="725"/>
      <c r="DT5" s="725"/>
      <c r="DU5" s="725"/>
      <c r="DV5" s="725"/>
      <c r="DW5" s="725"/>
      <c r="DX5" s="725"/>
      <c r="DY5" s="725"/>
      <c r="DZ5" s="725"/>
      <c r="EA5" s="725"/>
      <c r="EB5" s="725"/>
      <c r="EC5" s="725"/>
      <c r="ED5" s="725"/>
      <c r="EE5" s="725"/>
      <c r="EF5" s="725"/>
      <c r="EG5" s="725"/>
      <c r="EH5" s="725"/>
      <c r="EI5" s="725"/>
      <c r="EJ5" s="725"/>
      <c r="EK5" s="725"/>
      <c r="EL5" s="725"/>
      <c r="EM5" s="725"/>
      <c r="EN5" s="725"/>
      <c r="EO5" s="725"/>
      <c r="EP5" s="725"/>
      <c r="EQ5" s="725"/>
      <c r="ER5" s="725"/>
      <c r="ES5" s="725"/>
      <c r="ET5" s="725"/>
      <c r="EU5" s="725"/>
      <c r="EV5" s="725"/>
      <c r="EW5" s="725"/>
      <c r="EX5" s="725"/>
      <c r="EY5" s="725"/>
      <c r="EZ5" s="725"/>
      <c r="FA5" s="725"/>
      <c r="FB5" s="725"/>
      <c r="FC5" s="725"/>
      <c r="FD5" s="725"/>
      <c r="FE5" s="725"/>
      <c r="FF5" s="725"/>
      <c r="FG5" s="725"/>
      <c r="FH5" s="725"/>
      <c r="FI5" s="725"/>
      <c r="FJ5" s="725"/>
      <c r="FK5" s="725"/>
      <c r="FL5" s="725"/>
      <c r="FM5" s="725"/>
      <c r="FN5" s="725"/>
      <c r="FO5" s="725"/>
      <c r="FP5" s="725"/>
      <c r="FQ5" s="725"/>
      <c r="FR5" s="725"/>
      <c r="FS5" s="725"/>
      <c r="FT5" s="725"/>
      <c r="FU5" s="725"/>
      <c r="FV5" s="725"/>
      <c r="FW5" s="725"/>
      <c r="FX5" s="725"/>
      <c r="FY5" s="725"/>
      <c r="FZ5" s="725"/>
      <c r="GA5" s="725"/>
      <c r="GB5" s="725"/>
      <c r="GC5" s="725"/>
      <c r="GD5" s="725"/>
      <c r="GE5" s="725"/>
      <c r="GF5" s="725"/>
      <c r="GG5" s="725"/>
      <c r="GH5" s="725"/>
      <c r="GI5" s="725"/>
      <c r="GJ5" s="725"/>
      <c r="GK5" s="725"/>
      <c r="GL5" s="725"/>
      <c r="GM5" s="725"/>
      <c r="GN5" s="725"/>
      <c r="GO5" s="725"/>
      <c r="GP5" s="725"/>
      <c r="GQ5" s="725"/>
      <c r="GR5" s="725"/>
      <c r="GS5" s="725"/>
      <c r="GT5" s="725"/>
      <c r="GU5" s="725"/>
      <c r="GV5" s="725"/>
      <c r="GW5" s="725"/>
      <c r="GX5" s="725"/>
      <c r="GY5" s="725"/>
      <c r="GZ5" s="725"/>
      <c r="HA5" s="725"/>
      <c r="HB5" s="725"/>
      <c r="HC5" s="725"/>
      <c r="HD5" s="725"/>
      <c r="HE5" s="725"/>
      <c r="HF5" s="725"/>
      <c r="HG5" s="725"/>
      <c r="HH5" s="725"/>
      <c r="HI5" s="725"/>
      <c r="HJ5" s="725"/>
      <c r="HK5" s="725"/>
      <c r="HL5" s="725"/>
      <c r="HM5" s="725"/>
      <c r="HN5" s="725"/>
      <c r="HO5" s="725"/>
      <c r="HP5" s="725"/>
      <c r="HQ5" s="725"/>
      <c r="HR5" s="725"/>
      <c r="HS5" s="725"/>
      <c r="HT5" s="725"/>
      <c r="HU5" s="725"/>
      <c r="HV5" s="725"/>
      <c r="HW5" s="725"/>
      <c r="HX5" s="725"/>
      <c r="HY5" s="725"/>
      <c r="HZ5" s="725"/>
      <c r="IA5" s="725"/>
      <c r="IB5" s="725"/>
      <c r="IC5" s="725"/>
      <c r="ID5" s="725"/>
      <c r="IE5" s="725"/>
      <c r="IF5" s="160"/>
      <c r="IG5" s="160"/>
      <c r="IH5" s="160"/>
      <c r="II5" s="160"/>
      <c r="IJ5" s="160"/>
      <c r="IK5" s="160"/>
      <c r="IL5" s="160"/>
    </row>
    <row r="6" spans="1:266" ht="19.95" customHeight="1" x14ac:dyDescent="0.25">
      <c r="A6" s="161" t="s">
        <v>173</v>
      </c>
    </row>
    <row r="7" spans="1:266" ht="75.599999999999994" customHeight="1" x14ac:dyDescent="0.25">
      <c r="A7" s="925" t="s">
        <v>2</v>
      </c>
      <c r="B7" s="925" t="s">
        <v>116</v>
      </c>
      <c r="C7" s="925" t="s">
        <v>5</v>
      </c>
      <c r="D7" s="927" t="s">
        <v>570</v>
      </c>
      <c r="E7" s="928"/>
      <c r="F7" s="928"/>
      <c r="G7" s="928"/>
      <c r="H7" s="929"/>
      <c r="I7" s="930" t="s">
        <v>469</v>
      </c>
      <c r="J7" s="253" t="s">
        <v>8</v>
      </c>
      <c r="K7" s="930" t="s">
        <v>470</v>
      </c>
      <c r="L7" s="735" t="s">
        <v>8</v>
      </c>
      <c r="M7" s="930" t="s">
        <v>601</v>
      </c>
      <c r="N7" s="253" t="s">
        <v>8</v>
      </c>
      <c r="O7" s="162"/>
      <c r="P7" s="813" t="s">
        <v>631</v>
      </c>
      <c r="Q7" s="921" t="s">
        <v>491</v>
      </c>
      <c r="R7" s="922" t="s">
        <v>492</v>
      </c>
      <c r="S7" s="923" t="s">
        <v>493</v>
      </c>
      <c r="T7" s="162"/>
      <c r="U7" s="921" t="s">
        <v>494</v>
      </c>
      <c r="V7" s="922" t="s">
        <v>495</v>
      </c>
      <c r="W7" s="923" t="s">
        <v>496</v>
      </c>
      <c r="X7" s="162"/>
      <c r="Y7" s="921" t="s">
        <v>497</v>
      </c>
      <c r="Z7" s="922" t="s">
        <v>498</v>
      </c>
      <c r="AA7" s="923" t="s">
        <v>499</v>
      </c>
      <c r="AB7" s="162"/>
      <c r="AC7" s="162"/>
      <c r="AD7" s="724" t="s">
        <v>502</v>
      </c>
      <c r="AE7" s="920" t="s">
        <v>504</v>
      </c>
      <c r="AF7" s="923" t="s">
        <v>505</v>
      </c>
      <c r="AG7" s="162"/>
      <c r="AH7" s="920" t="s">
        <v>506</v>
      </c>
      <c r="AI7" s="923" t="s">
        <v>507</v>
      </c>
      <c r="AJ7" s="162"/>
      <c r="AK7" s="920" t="s">
        <v>508</v>
      </c>
      <c r="AL7" s="923" t="s">
        <v>509</v>
      </c>
      <c r="AM7" s="163"/>
      <c r="AN7" s="162"/>
      <c r="AO7" s="724" t="s">
        <v>515</v>
      </c>
      <c r="AP7" s="920" t="s">
        <v>511</v>
      </c>
      <c r="AQ7" s="923" t="s">
        <v>512</v>
      </c>
      <c r="AR7" s="162"/>
      <c r="AS7" s="724" t="s">
        <v>517</v>
      </c>
      <c r="AT7" s="920" t="s">
        <v>520</v>
      </c>
      <c r="AU7" s="923" t="s">
        <v>521</v>
      </c>
      <c r="AV7" s="162"/>
      <c r="AW7" s="724" t="s">
        <v>522</v>
      </c>
      <c r="AX7" s="920" t="s">
        <v>524</v>
      </c>
      <c r="AY7" s="923" t="s">
        <v>525</v>
      </c>
      <c r="AZ7" s="162"/>
      <c r="BA7" s="162"/>
      <c r="BB7" s="939" t="s">
        <v>561</v>
      </c>
      <c r="BC7" s="940" t="s">
        <v>562</v>
      </c>
      <c r="BD7" s="923" t="s">
        <v>563</v>
      </c>
      <c r="BE7" s="162"/>
      <c r="BF7" s="933" t="s">
        <v>568</v>
      </c>
      <c r="BG7" s="932" t="s">
        <v>564</v>
      </c>
      <c r="BH7" s="923" t="s">
        <v>566</v>
      </c>
      <c r="BI7" s="162"/>
      <c r="BJ7" s="933" t="s">
        <v>569</v>
      </c>
      <c r="BK7" s="932" t="s">
        <v>565</v>
      </c>
      <c r="BL7" s="923" t="s">
        <v>567</v>
      </c>
      <c r="BM7" s="162"/>
      <c r="BN7" s="742" t="s">
        <v>573</v>
      </c>
      <c r="BO7" s="920" t="s">
        <v>575</v>
      </c>
      <c r="BP7" s="923" t="s">
        <v>576</v>
      </c>
      <c r="BQ7" s="162"/>
      <c r="BR7" s="162"/>
      <c r="BS7" s="764" t="s">
        <v>580</v>
      </c>
      <c r="BT7" s="920" t="s">
        <v>582</v>
      </c>
      <c r="BU7" s="923" t="s">
        <v>583</v>
      </c>
      <c r="BV7" s="162"/>
      <c r="BW7" s="162"/>
      <c r="BX7" s="162"/>
      <c r="BY7" s="162"/>
      <c r="BZ7" s="162"/>
      <c r="CA7" s="162"/>
      <c r="CB7" s="162"/>
      <c r="CC7" s="162"/>
      <c r="CD7" s="921" t="s">
        <v>363</v>
      </c>
      <c r="CE7" s="922" t="s">
        <v>365</v>
      </c>
      <c r="CF7" s="923" t="s">
        <v>364</v>
      </c>
      <c r="CG7" s="162"/>
      <c r="CH7" s="162"/>
      <c r="CI7" s="163"/>
      <c r="CJ7" s="724" t="s">
        <v>371</v>
      </c>
      <c r="CK7" s="920" t="s">
        <v>365</v>
      </c>
      <c r="CL7" s="923" t="s">
        <v>364</v>
      </c>
      <c r="CM7" s="163"/>
      <c r="CN7" s="163"/>
      <c r="CO7" s="163"/>
      <c r="CP7" s="162"/>
      <c r="CQ7" s="162"/>
      <c r="CR7" s="163"/>
      <c r="CS7" s="724" t="s">
        <v>366</v>
      </c>
      <c r="CT7" s="920" t="s">
        <v>368</v>
      </c>
      <c r="CU7" s="923" t="s">
        <v>369</v>
      </c>
      <c r="CV7" s="162"/>
      <c r="CW7" s="162"/>
      <c r="CX7" s="162"/>
      <c r="CY7" s="162"/>
      <c r="CZ7" s="162"/>
      <c r="DA7" s="162"/>
      <c r="DB7" s="162"/>
      <c r="DC7" s="162"/>
      <c r="DD7" s="162"/>
      <c r="DE7" s="163"/>
      <c r="DF7" s="724" t="s">
        <v>393</v>
      </c>
      <c r="DG7" s="920" t="s">
        <v>396</v>
      </c>
      <c r="DH7" s="923" t="s">
        <v>397</v>
      </c>
      <c r="DI7" s="162"/>
      <c r="DJ7" s="162"/>
      <c r="DK7" s="162"/>
      <c r="DL7" s="162"/>
      <c r="DM7" s="162"/>
      <c r="DN7" s="162"/>
      <c r="DO7" s="162"/>
      <c r="DP7" s="162"/>
      <c r="DQ7" s="164"/>
      <c r="DR7" s="724" t="s">
        <v>408</v>
      </c>
      <c r="DS7" s="920" t="s">
        <v>412</v>
      </c>
      <c r="DT7" s="923" t="s">
        <v>413</v>
      </c>
      <c r="DU7" s="164"/>
      <c r="DV7" s="164"/>
      <c r="DW7" s="164"/>
      <c r="DX7" s="164"/>
      <c r="DY7" s="162"/>
      <c r="DZ7" s="162"/>
      <c r="EA7" s="162"/>
      <c r="EB7" s="164"/>
      <c r="EC7" s="724" t="s">
        <v>414</v>
      </c>
      <c r="ED7" s="920" t="s">
        <v>417</v>
      </c>
      <c r="EE7" s="923" t="s">
        <v>418</v>
      </c>
      <c r="EF7" s="164"/>
      <c r="EG7" s="164"/>
      <c r="EH7" s="164"/>
      <c r="EI7" s="164"/>
      <c r="EJ7" s="162"/>
      <c r="EK7" s="162"/>
      <c r="EL7" s="162"/>
      <c r="EM7" s="162"/>
      <c r="EN7" s="162"/>
      <c r="EO7" s="724" t="s">
        <v>421</v>
      </c>
      <c r="EP7" s="920" t="s">
        <v>424</v>
      </c>
      <c r="EQ7" s="923" t="s">
        <v>425</v>
      </c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934" t="s">
        <v>432</v>
      </c>
      <c r="FC7" s="922" t="s">
        <v>424</v>
      </c>
      <c r="FD7" s="922" t="s">
        <v>433</v>
      </c>
      <c r="FE7" s="932" t="s">
        <v>435</v>
      </c>
      <c r="FF7" s="931" t="s">
        <v>434</v>
      </c>
      <c r="FG7" s="931" t="s">
        <v>433</v>
      </c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X7" s="162"/>
      <c r="FY7" s="162"/>
      <c r="FZ7" s="162"/>
      <c r="GA7" s="162"/>
      <c r="GB7" s="162"/>
      <c r="GC7" s="935"/>
      <c r="GD7" s="164"/>
      <c r="GE7" s="164"/>
      <c r="GF7" s="724" t="s">
        <v>279</v>
      </c>
      <c r="GG7" s="920" t="s">
        <v>281</v>
      </c>
      <c r="GH7" s="923" t="s">
        <v>282</v>
      </c>
      <c r="GI7" s="163"/>
      <c r="GJ7" s="164"/>
      <c r="GK7" s="724" t="s">
        <v>309</v>
      </c>
      <c r="GL7" s="920" t="s">
        <v>311</v>
      </c>
      <c r="GM7" s="923" t="s">
        <v>312</v>
      </c>
      <c r="GN7" s="163"/>
      <c r="GO7" s="163"/>
      <c r="GP7" s="724" t="s">
        <v>322</v>
      </c>
      <c r="GQ7" s="920" t="s">
        <v>323</v>
      </c>
      <c r="GR7" s="923" t="s">
        <v>324</v>
      </c>
      <c r="GS7" s="163"/>
      <c r="GT7" s="163"/>
      <c r="GU7" s="163"/>
      <c r="GV7" s="923" t="s">
        <v>174</v>
      </c>
      <c r="GW7" s="923" t="s">
        <v>175</v>
      </c>
      <c r="GX7" s="164"/>
      <c r="GY7" s="164"/>
      <c r="GZ7" s="165" t="s">
        <v>176</v>
      </c>
      <c r="HA7" s="923" t="s">
        <v>177</v>
      </c>
      <c r="HB7" s="923" t="s">
        <v>178</v>
      </c>
      <c r="HC7" s="162"/>
      <c r="HD7" s="165" t="s">
        <v>179</v>
      </c>
      <c r="HE7" s="923" t="s">
        <v>180</v>
      </c>
      <c r="HF7" s="923" t="s">
        <v>181</v>
      </c>
      <c r="HG7" s="163"/>
      <c r="HH7" s="165" t="s">
        <v>182</v>
      </c>
      <c r="HI7" s="923" t="s">
        <v>183</v>
      </c>
      <c r="HJ7" s="923" t="s">
        <v>184</v>
      </c>
      <c r="HK7" s="162"/>
      <c r="HL7" s="165" t="s">
        <v>185</v>
      </c>
      <c r="HM7" s="923" t="s">
        <v>186</v>
      </c>
      <c r="HN7" s="923" t="s">
        <v>187</v>
      </c>
      <c r="HO7" s="162"/>
      <c r="HP7" s="162"/>
      <c r="HQ7" s="165" t="s">
        <v>188</v>
      </c>
      <c r="HR7" s="923" t="s">
        <v>189</v>
      </c>
      <c r="HS7" s="923" t="s">
        <v>190</v>
      </c>
      <c r="HT7" s="162"/>
      <c r="HU7" s="162"/>
      <c r="HV7" s="162"/>
      <c r="HW7" s="162"/>
      <c r="HX7" s="166" t="s">
        <v>191</v>
      </c>
      <c r="HY7" s="923" t="s">
        <v>192</v>
      </c>
      <c r="HZ7" s="923" t="s">
        <v>193</v>
      </c>
      <c r="IA7" s="162"/>
      <c r="IB7" s="162"/>
      <c r="IC7" s="162"/>
      <c r="ID7" s="162"/>
      <c r="IE7" s="162"/>
      <c r="IH7" s="923" t="s">
        <v>194</v>
      </c>
      <c r="II7" s="923" t="s">
        <v>195</v>
      </c>
      <c r="IJ7" s="923" t="s">
        <v>196</v>
      </c>
      <c r="IK7" s="923" t="s">
        <v>197</v>
      </c>
      <c r="IL7" s="923" t="s">
        <v>198</v>
      </c>
      <c r="IM7" s="923" t="s">
        <v>199</v>
      </c>
      <c r="IN7" s="923" t="s">
        <v>200</v>
      </c>
      <c r="IO7" s="923" t="s">
        <v>201</v>
      </c>
      <c r="IP7" s="923" t="s">
        <v>202</v>
      </c>
      <c r="IQ7" s="923" t="s">
        <v>203</v>
      </c>
      <c r="IR7" s="163"/>
    </row>
    <row r="8" spans="1:266" ht="23.4" customHeight="1" x14ac:dyDescent="0.25">
      <c r="A8" s="926"/>
      <c r="B8" s="926"/>
      <c r="C8" s="926"/>
      <c r="D8" s="63" t="s">
        <v>600</v>
      </c>
      <c r="E8" s="168" t="s">
        <v>204</v>
      </c>
      <c r="F8" s="63" t="s">
        <v>205</v>
      </c>
      <c r="G8" s="167" t="s">
        <v>444</v>
      </c>
      <c r="H8" s="167" t="s">
        <v>586</v>
      </c>
      <c r="I8" s="930"/>
      <c r="J8" s="167" t="s">
        <v>337</v>
      </c>
      <c r="K8" s="930"/>
      <c r="L8" s="167" t="s">
        <v>444</v>
      </c>
      <c r="M8" s="930"/>
      <c r="N8" s="167" t="s">
        <v>586</v>
      </c>
      <c r="O8" s="169"/>
      <c r="P8" s="169"/>
      <c r="Q8" s="921"/>
      <c r="R8" s="922"/>
      <c r="S8" s="923"/>
      <c r="T8" s="169"/>
      <c r="U8" s="921"/>
      <c r="V8" s="922"/>
      <c r="W8" s="923"/>
      <c r="X8" s="169"/>
      <c r="Y8" s="921"/>
      <c r="Z8" s="922"/>
      <c r="AA8" s="923"/>
      <c r="AB8" s="169"/>
      <c r="AC8" s="169"/>
      <c r="AD8" s="336" t="s">
        <v>503</v>
      </c>
      <c r="AE8" s="920"/>
      <c r="AF8" s="923"/>
      <c r="AG8" s="169"/>
      <c r="AH8" s="920"/>
      <c r="AI8" s="923"/>
      <c r="AJ8" s="169"/>
      <c r="AK8" s="920"/>
      <c r="AL8" s="923"/>
      <c r="AM8" s="163"/>
      <c r="AN8" s="169"/>
      <c r="AO8" s="336" t="s">
        <v>516</v>
      </c>
      <c r="AP8" s="920"/>
      <c r="AQ8" s="923"/>
      <c r="AR8" s="169"/>
      <c r="AS8" s="336" t="s">
        <v>518</v>
      </c>
      <c r="AT8" s="920"/>
      <c r="AU8" s="923"/>
      <c r="AV8" s="169"/>
      <c r="AW8" s="336" t="s">
        <v>523</v>
      </c>
      <c r="AX8" s="920"/>
      <c r="AY8" s="923"/>
      <c r="AZ8" s="169"/>
      <c r="BA8" s="169"/>
      <c r="BB8" s="931"/>
      <c r="BC8" s="940"/>
      <c r="BD8" s="923"/>
      <c r="BE8" s="169"/>
      <c r="BF8" s="933"/>
      <c r="BG8" s="932"/>
      <c r="BH8" s="923"/>
      <c r="BI8" s="169"/>
      <c r="BJ8" s="933"/>
      <c r="BK8" s="932"/>
      <c r="BL8" s="923"/>
      <c r="BM8" s="169"/>
      <c r="BN8" s="336" t="s">
        <v>574</v>
      </c>
      <c r="BO8" s="920"/>
      <c r="BP8" s="923"/>
      <c r="BQ8" s="169"/>
      <c r="BR8" s="169"/>
      <c r="BS8" s="336" t="s">
        <v>581</v>
      </c>
      <c r="BT8" s="920"/>
      <c r="BU8" s="923"/>
      <c r="BV8" s="169"/>
      <c r="BW8" s="169"/>
      <c r="BX8" s="169"/>
      <c r="BY8" s="169"/>
      <c r="BZ8" s="169"/>
      <c r="CA8" s="169"/>
      <c r="CB8" s="169"/>
      <c r="CC8" s="169"/>
      <c r="CD8" s="921"/>
      <c r="CE8" s="922"/>
      <c r="CF8" s="923"/>
      <c r="CG8" s="169"/>
      <c r="CH8" s="169"/>
      <c r="CI8" s="163"/>
      <c r="CJ8" s="336" t="s">
        <v>372</v>
      </c>
      <c r="CK8" s="920"/>
      <c r="CL8" s="923"/>
      <c r="CM8" s="163"/>
      <c r="CN8" s="163"/>
      <c r="CO8" s="163"/>
      <c r="CP8" s="169"/>
      <c r="CQ8" s="169"/>
      <c r="CR8" s="163"/>
      <c r="CS8" s="336" t="s">
        <v>367</v>
      </c>
      <c r="CT8" s="920"/>
      <c r="CU8" s="923"/>
      <c r="CV8" s="169"/>
      <c r="CW8" s="169"/>
      <c r="CX8" s="169"/>
      <c r="CY8" s="169"/>
      <c r="CZ8" s="169"/>
      <c r="DA8" s="169"/>
      <c r="DB8" s="169"/>
      <c r="DC8" s="169"/>
      <c r="DD8" s="169"/>
      <c r="DE8" s="163"/>
      <c r="DF8" s="336" t="s">
        <v>394</v>
      </c>
      <c r="DG8" s="920"/>
      <c r="DH8" s="923"/>
      <c r="DI8" s="169"/>
      <c r="DJ8" s="169"/>
      <c r="DK8" s="169"/>
      <c r="DL8" s="169"/>
      <c r="DM8" s="169"/>
      <c r="DN8" s="169"/>
      <c r="DO8" s="169"/>
      <c r="DP8" s="169"/>
      <c r="DQ8" s="164"/>
      <c r="DR8" s="336" t="s">
        <v>409</v>
      </c>
      <c r="DS8" s="920"/>
      <c r="DT8" s="923"/>
      <c r="DU8" s="164"/>
      <c r="DV8" s="164"/>
      <c r="DW8" s="164"/>
      <c r="DX8" s="164"/>
      <c r="DY8" s="169"/>
      <c r="DZ8" s="169"/>
      <c r="EA8" s="169"/>
      <c r="EB8" s="164"/>
      <c r="EC8" s="336" t="s">
        <v>415</v>
      </c>
      <c r="ED8" s="920"/>
      <c r="EE8" s="923"/>
      <c r="EF8" s="164"/>
      <c r="EG8" s="164"/>
      <c r="EH8" s="164"/>
      <c r="EI8" s="164"/>
      <c r="EJ8" s="169"/>
      <c r="EK8" s="169"/>
      <c r="EL8" s="169"/>
      <c r="EM8" s="169"/>
      <c r="EN8" s="169"/>
      <c r="EO8" s="336" t="s">
        <v>423</v>
      </c>
      <c r="EP8" s="920"/>
      <c r="EQ8" s="923"/>
      <c r="ER8" s="164"/>
      <c r="ES8" s="164"/>
      <c r="ET8" s="164"/>
      <c r="EU8" s="164"/>
      <c r="EV8" s="164"/>
      <c r="EW8" s="164"/>
      <c r="EX8" s="164"/>
      <c r="EY8" s="164"/>
      <c r="EZ8" s="164"/>
      <c r="FA8" s="164"/>
      <c r="FB8" s="934"/>
      <c r="FC8" s="922"/>
      <c r="FD8" s="922"/>
      <c r="FE8" s="932"/>
      <c r="FF8" s="931"/>
      <c r="FG8" s="931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X8" s="169"/>
      <c r="FY8" s="169"/>
      <c r="FZ8" s="169"/>
      <c r="GA8" s="169"/>
      <c r="GB8" s="169"/>
      <c r="GC8" s="935"/>
      <c r="GD8" s="164"/>
      <c r="GE8" s="164"/>
      <c r="GF8" s="336" t="s">
        <v>280</v>
      </c>
      <c r="GG8" s="920"/>
      <c r="GH8" s="923"/>
      <c r="GI8" s="163"/>
      <c r="GJ8" s="164"/>
      <c r="GK8" s="336" t="s">
        <v>310</v>
      </c>
      <c r="GL8" s="920"/>
      <c r="GM8" s="923"/>
      <c r="GN8" s="163"/>
      <c r="GO8" s="163"/>
      <c r="GP8" s="336" t="s">
        <v>321</v>
      </c>
      <c r="GQ8" s="920"/>
      <c r="GR8" s="923"/>
      <c r="GS8" s="163"/>
      <c r="GT8" s="163"/>
      <c r="GU8" s="163"/>
      <c r="GV8" s="923"/>
      <c r="GW8" s="923"/>
      <c r="GX8" s="164"/>
      <c r="GY8" s="164"/>
      <c r="GZ8" s="170" t="s">
        <v>206</v>
      </c>
      <c r="HA8" s="923"/>
      <c r="HB8" s="923"/>
      <c r="HC8" s="169"/>
      <c r="HD8" s="170" t="s">
        <v>207</v>
      </c>
      <c r="HE8" s="923"/>
      <c r="HF8" s="923"/>
      <c r="HG8" s="163"/>
      <c r="HH8" s="170" t="s">
        <v>208</v>
      </c>
      <c r="HI8" s="923"/>
      <c r="HJ8" s="923"/>
      <c r="HK8" s="169"/>
      <c r="HL8" s="170" t="s">
        <v>209</v>
      </c>
      <c r="HM8" s="923"/>
      <c r="HN8" s="923"/>
      <c r="HO8" s="169"/>
      <c r="HP8" s="169"/>
      <c r="HQ8" s="170" t="s">
        <v>210</v>
      </c>
      <c r="HR8" s="923"/>
      <c r="HS8" s="923"/>
      <c r="HT8" s="169"/>
      <c r="HU8" s="169"/>
      <c r="HV8" s="169"/>
      <c r="HW8" s="169"/>
      <c r="HX8" s="171" t="s">
        <v>211</v>
      </c>
      <c r="HY8" s="923"/>
      <c r="HZ8" s="923"/>
      <c r="IA8" s="169"/>
      <c r="IB8" s="169"/>
      <c r="IC8" s="169"/>
      <c r="ID8" s="169"/>
      <c r="IE8" s="169"/>
      <c r="IH8" s="923"/>
      <c r="II8" s="923"/>
      <c r="IJ8" s="923"/>
      <c r="IK8" s="923"/>
      <c r="IL8" s="923"/>
      <c r="IM8" s="923"/>
      <c r="IN8" s="923"/>
      <c r="IO8" s="923"/>
      <c r="IP8" s="923"/>
      <c r="IQ8" s="923"/>
      <c r="IR8" s="163"/>
    </row>
    <row r="9" spans="1:266" ht="25.2" customHeight="1" x14ac:dyDescent="0.25">
      <c r="A9" s="145" t="s">
        <v>18</v>
      </c>
      <c r="B9" s="145" t="s">
        <v>120</v>
      </c>
      <c r="C9" s="145" t="s">
        <v>19</v>
      </c>
      <c r="D9" s="145" t="s">
        <v>20</v>
      </c>
      <c r="E9" s="145" t="s">
        <v>20</v>
      </c>
      <c r="F9" s="145" t="s">
        <v>20</v>
      </c>
      <c r="G9" s="145" t="s">
        <v>20</v>
      </c>
      <c r="H9" s="145" t="s">
        <v>20</v>
      </c>
      <c r="I9" s="145" t="s">
        <v>21</v>
      </c>
      <c r="J9" s="145" t="s">
        <v>21</v>
      </c>
      <c r="K9" s="145" t="s">
        <v>21</v>
      </c>
      <c r="L9" s="145" t="s">
        <v>21</v>
      </c>
      <c r="M9" s="145" t="s">
        <v>21</v>
      </c>
      <c r="N9" s="145" t="s">
        <v>21</v>
      </c>
      <c r="O9" s="172"/>
      <c r="P9" s="172"/>
      <c r="Q9" s="173" t="s">
        <v>212</v>
      </c>
      <c r="R9" s="174"/>
      <c r="S9" s="515" t="s">
        <v>215</v>
      </c>
      <c r="T9" s="172"/>
      <c r="U9" s="173" t="s">
        <v>212</v>
      </c>
      <c r="V9" s="174"/>
      <c r="W9" s="515" t="s">
        <v>501</v>
      </c>
      <c r="X9" s="172"/>
      <c r="Y9" s="173" t="s">
        <v>212</v>
      </c>
      <c r="Z9" s="174"/>
      <c r="AA9" s="515" t="s">
        <v>500</v>
      </c>
      <c r="AB9" s="172"/>
      <c r="AC9" s="172"/>
      <c r="AD9" s="233">
        <f>24922888.44</f>
        <v>24922888.440000001</v>
      </c>
      <c r="AE9" s="177">
        <f>AD9-S17</f>
        <v>5680410.0000000037</v>
      </c>
      <c r="AF9" s="248">
        <f>AE9/Q17</f>
        <v>82.482575361561302</v>
      </c>
      <c r="AG9" s="172"/>
      <c r="AH9" s="233">
        <v>15242171.380000001</v>
      </c>
      <c r="AI9" s="177">
        <f>AH9-W17</f>
        <v>-4000307.0615579989</v>
      </c>
      <c r="AJ9" s="172"/>
      <c r="AK9" s="233">
        <v>12196137.380000001</v>
      </c>
      <c r="AL9" s="177">
        <f>AK9-AA17</f>
        <v>-7046341.0603419971</v>
      </c>
      <c r="AM9" s="177"/>
      <c r="AN9" s="172"/>
      <c r="AO9" s="673">
        <f>24922888.44</f>
        <v>24922888.440000001</v>
      </c>
      <c r="AP9" s="674" t="s">
        <v>513</v>
      </c>
      <c r="AQ9" s="248"/>
      <c r="AR9" s="172"/>
      <c r="AS9" s="673">
        <v>25005238.440000001</v>
      </c>
      <c r="AT9" s="674" t="s">
        <v>519</v>
      </c>
      <c r="AU9" s="673">
        <f>AS9-AO9</f>
        <v>82350</v>
      </c>
      <c r="AV9" s="172"/>
      <c r="AW9" s="673">
        <v>25581749.609999999</v>
      </c>
      <c r="AX9" s="674" t="s">
        <v>519</v>
      </c>
      <c r="AY9" s="673">
        <f>AW9-AS9</f>
        <v>576511.16999999806</v>
      </c>
      <c r="AZ9" s="172"/>
      <c r="BA9" s="172"/>
      <c r="BB9" s="744" t="s">
        <v>212</v>
      </c>
      <c r="BC9" s="727"/>
      <c r="BD9" s="729" t="s">
        <v>215</v>
      </c>
      <c r="BE9" s="172"/>
      <c r="BF9" s="251" t="s">
        <v>212</v>
      </c>
      <c r="BG9" s="727"/>
      <c r="BH9" s="729" t="s">
        <v>501</v>
      </c>
      <c r="BI9" s="172"/>
      <c r="BJ9" s="251" t="s">
        <v>212</v>
      </c>
      <c r="BK9" s="727"/>
      <c r="BL9" s="729" t="s">
        <v>500</v>
      </c>
      <c r="BM9" s="172"/>
      <c r="BN9" s="673">
        <v>57706619.369999997</v>
      </c>
      <c r="BO9" s="674" t="s">
        <v>577</v>
      </c>
      <c r="BP9" s="673">
        <f>BN10-BD17</f>
        <v>1754027.998183988</v>
      </c>
      <c r="BQ9" s="172"/>
      <c r="BR9" s="172"/>
      <c r="BS9" s="673">
        <v>56337676.009999998</v>
      </c>
      <c r="BT9" s="674" t="s">
        <v>577</v>
      </c>
      <c r="BU9" s="673">
        <f>BS10-BN10</f>
        <v>-1368943.3599999994</v>
      </c>
      <c r="BV9" s="172"/>
      <c r="BW9" s="172"/>
      <c r="BX9" s="172"/>
      <c r="BY9" s="172"/>
      <c r="BZ9" s="172"/>
      <c r="CA9" s="172"/>
      <c r="CB9" s="172"/>
      <c r="CC9" s="172"/>
      <c r="CD9" s="173" t="s">
        <v>212</v>
      </c>
      <c r="CE9" s="174"/>
      <c r="CF9" s="515" t="s">
        <v>214</v>
      </c>
      <c r="CG9" s="172"/>
      <c r="CH9" s="172"/>
      <c r="CI9" s="175"/>
      <c r="CJ9" s="336" t="s">
        <v>370</v>
      </c>
      <c r="CK9" s="339"/>
      <c r="CL9" s="175"/>
      <c r="CM9" s="175"/>
      <c r="CN9" s="178" t="s">
        <v>370</v>
      </c>
      <c r="CO9" s="518"/>
      <c r="CP9" s="172"/>
      <c r="CQ9" s="172"/>
      <c r="CR9" s="175"/>
      <c r="CS9" s="178" t="s">
        <v>380</v>
      </c>
      <c r="CT9" s="339">
        <v>69.806147100000004</v>
      </c>
      <c r="CU9" s="532">
        <f>69.81-0.0159+0.00006</f>
        <v>69.794160000000005</v>
      </c>
      <c r="CV9" s="178" t="s">
        <v>380</v>
      </c>
      <c r="CW9" s="63"/>
      <c r="CX9" s="172"/>
      <c r="CY9" s="172"/>
      <c r="CZ9" s="172"/>
      <c r="DA9" s="172"/>
      <c r="DB9" s="172"/>
      <c r="DC9" s="172"/>
      <c r="DD9" s="172"/>
      <c r="DE9" s="175"/>
      <c r="DF9" s="178" t="s">
        <v>395</v>
      </c>
      <c r="DG9" s="558">
        <f>DN17</f>
        <v>25.504340357650563</v>
      </c>
      <c r="DH9" s="532">
        <v>25.8</v>
      </c>
      <c r="DI9" s="178" t="s">
        <v>395</v>
      </c>
      <c r="DJ9" s="63"/>
      <c r="DK9" s="172"/>
      <c r="DL9" s="172"/>
      <c r="DM9" s="172"/>
      <c r="DN9" s="172"/>
      <c r="DO9" s="455"/>
      <c r="DP9" s="455"/>
      <c r="DQ9" s="339"/>
      <c r="DR9" s="178" t="s">
        <v>410</v>
      </c>
      <c r="DS9" s="564">
        <f>DZ17</f>
        <v>0.87981359602201492</v>
      </c>
      <c r="DT9" s="565">
        <v>0.88</v>
      </c>
      <c r="DU9" s="178" t="s">
        <v>410</v>
      </c>
      <c r="DV9" s="63"/>
      <c r="DW9" s="339"/>
      <c r="DX9" s="532"/>
      <c r="DY9" s="172"/>
      <c r="DZ9" s="172"/>
      <c r="EA9" s="172"/>
      <c r="EB9" s="339"/>
      <c r="EC9" s="178" t="s">
        <v>416</v>
      </c>
      <c r="ED9" s="564">
        <f>EK17</f>
        <v>0</v>
      </c>
      <c r="EE9" s="565">
        <v>0.88</v>
      </c>
      <c r="EF9" s="178" t="s">
        <v>416</v>
      </c>
      <c r="EG9" s="63"/>
      <c r="EH9" s="339"/>
      <c r="EI9" s="532"/>
      <c r="EJ9" s="172"/>
      <c r="EK9" s="172"/>
      <c r="EL9" s="172"/>
      <c r="EM9" s="172"/>
      <c r="EN9" s="172"/>
      <c r="EO9" s="178" t="s">
        <v>422</v>
      </c>
      <c r="EP9" s="564">
        <f>GA17</f>
        <v>0</v>
      </c>
      <c r="EQ9" s="565">
        <v>0.88</v>
      </c>
      <c r="ER9" s="178" t="s">
        <v>422</v>
      </c>
      <c r="ES9" s="248"/>
      <c r="ET9" s="248"/>
      <c r="EU9" s="248"/>
      <c r="EV9" s="248"/>
      <c r="EW9" s="248"/>
      <c r="EX9" s="248"/>
      <c r="EY9" s="248"/>
      <c r="EZ9" s="248"/>
      <c r="FA9" s="248"/>
      <c r="FB9" s="602" t="s">
        <v>212</v>
      </c>
      <c r="FC9" s="594"/>
      <c r="FD9" s="606" t="s">
        <v>214</v>
      </c>
      <c r="FE9" s="591" t="s">
        <v>21</v>
      </c>
      <c r="FF9" s="597" t="s">
        <v>21</v>
      </c>
      <c r="FG9" s="597" t="s">
        <v>21</v>
      </c>
      <c r="FH9" s="274"/>
      <c r="FI9" s="274"/>
      <c r="FJ9" s="274"/>
      <c r="FK9" s="274"/>
      <c r="FL9" s="274"/>
      <c r="FM9" s="274"/>
      <c r="FN9" s="274"/>
      <c r="FO9" s="274"/>
      <c r="FP9" s="274"/>
      <c r="FQ9" s="274"/>
      <c r="FR9" s="274"/>
      <c r="FS9" s="274"/>
      <c r="FT9" s="274"/>
      <c r="FU9" s="274"/>
      <c r="FV9" s="274"/>
      <c r="FX9" s="172"/>
      <c r="FY9" s="172"/>
      <c r="FZ9" s="172"/>
      <c r="GA9" s="172"/>
      <c r="GB9" s="172"/>
      <c r="GC9" s="325"/>
      <c r="GE9" s="175"/>
      <c r="GF9" s="63"/>
      <c r="GG9" s="339">
        <v>18.9381585</v>
      </c>
      <c r="GH9" s="175"/>
      <c r="GI9" s="175"/>
      <c r="GJ9" s="175"/>
      <c r="GK9" s="63"/>
      <c r="GL9" s="339">
        <v>1.9072069</v>
      </c>
      <c r="GM9" s="175"/>
      <c r="GN9" s="175"/>
      <c r="GO9" s="175"/>
      <c r="GP9" s="63"/>
      <c r="GQ9" s="339">
        <v>9.6734697000000001</v>
      </c>
      <c r="GR9" s="175"/>
      <c r="GS9" s="175"/>
      <c r="GT9" s="175"/>
      <c r="GU9" s="175"/>
      <c r="GW9" s="175">
        <v>304168.17</v>
      </c>
      <c r="GY9" s="175"/>
      <c r="GZ9" s="172"/>
      <c r="HB9" s="175">
        <f>145778.83</f>
        <v>145778.82999999999</v>
      </c>
      <c r="HC9" s="172"/>
      <c r="HD9" s="172"/>
      <c r="HF9" s="175">
        <v>167609</v>
      </c>
      <c r="HG9" s="175"/>
      <c r="HH9" s="172"/>
      <c r="HI9" s="172"/>
      <c r="HJ9" s="176">
        <v>-27213.64</v>
      </c>
      <c r="HK9" s="172"/>
      <c r="HL9" s="172"/>
      <c r="HM9" s="177">
        <f>44803360.28-9993200</f>
        <v>34810160.280000001</v>
      </c>
      <c r="HN9" s="176">
        <v>91792.17</v>
      </c>
      <c r="HO9" s="178" t="s">
        <v>216</v>
      </c>
      <c r="HP9" s="172"/>
      <c r="HQ9" s="172"/>
      <c r="HR9" s="177">
        <f>44803360.28-9993200+1277754</f>
        <v>36087914.280000001</v>
      </c>
      <c r="HS9" s="176">
        <v>212959</v>
      </c>
      <c r="HT9" s="178" t="s">
        <v>216</v>
      </c>
      <c r="HU9" s="172"/>
      <c r="HV9" s="172"/>
      <c r="HW9" s="172"/>
      <c r="HX9" s="172"/>
      <c r="HY9" s="177">
        <f>44803360.28-9993200+1277754+595148.68</f>
        <v>36683062.960000001</v>
      </c>
      <c r="HZ9" s="179">
        <v>99191.444000000003</v>
      </c>
      <c r="IA9" s="178" t="s">
        <v>216</v>
      </c>
      <c r="IB9" s="172"/>
      <c r="IC9" s="172"/>
      <c r="ID9" s="172"/>
      <c r="IE9" s="172"/>
      <c r="IG9" s="180" t="s">
        <v>217</v>
      </c>
      <c r="II9" s="181" t="s">
        <v>218</v>
      </c>
      <c r="IK9" s="182">
        <v>182795.33</v>
      </c>
      <c r="IM9" s="182">
        <v>288911</v>
      </c>
      <c r="IO9" s="183">
        <v>11366.666670000001</v>
      </c>
      <c r="IP9" s="182"/>
      <c r="IQ9" s="183">
        <v>8333.3333299999995</v>
      </c>
      <c r="IR9" s="182"/>
    </row>
    <row r="10" spans="1:266" ht="19.95" customHeight="1" x14ac:dyDescent="0.25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6"/>
      <c r="P10" s="186"/>
      <c r="Q10" s="187"/>
      <c r="R10" s="174"/>
      <c r="S10" s="516" t="s">
        <v>219</v>
      </c>
      <c r="T10" s="186"/>
      <c r="U10" s="187"/>
      <c r="V10" s="174"/>
      <c r="W10" s="516" t="s">
        <v>219</v>
      </c>
      <c r="X10" s="186"/>
      <c r="Y10" s="187"/>
      <c r="Z10" s="174"/>
      <c r="AA10" s="516" t="s">
        <v>219</v>
      </c>
      <c r="AB10" s="186"/>
      <c r="AC10" s="186"/>
      <c r="AD10" s="186"/>
      <c r="AE10" s="186"/>
      <c r="AF10" s="186"/>
      <c r="AG10" s="186"/>
      <c r="AH10" s="186"/>
      <c r="AI10" s="163">
        <f>AI9/U17</f>
        <v>-58.082369891800838</v>
      </c>
      <c r="AJ10" s="186"/>
      <c r="AK10" s="186"/>
      <c r="AL10" s="273">
        <f>AL9/Y17</f>
        <v>-102.30176631641449</v>
      </c>
      <c r="AM10" s="273"/>
      <c r="AN10" s="186"/>
      <c r="AO10" s="186"/>
      <c r="AP10" s="186"/>
      <c r="AQ10" s="186"/>
      <c r="AR10" s="186"/>
      <c r="AS10" s="186"/>
      <c r="AT10" s="186"/>
      <c r="AU10" s="681">
        <f>AU9/Q17</f>
        <v>1.1957658128593831</v>
      </c>
      <c r="AV10" s="682" t="s">
        <v>514</v>
      </c>
      <c r="AW10" s="186"/>
      <c r="AX10" s="186"/>
      <c r="AY10" s="681">
        <f>AY9/Q17</f>
        <v>8.3712489109600696</v>
      </c>
      <c r="AZ10" s="682" t="s">
        <v>514</v>
      </c>
      <c r="BA10" s="186"/>
      <c r="BB10" s="745"/>
      <c r="BC10" s="727"/>
      <c r="BD10" s="730" t="s">
        <v>219</v>
      </c>
      <c r="BE10" s="186"/>
      <c r="BF10" s="728"/>
      <c r="BG10" s="727"/>
      <c r="BH10" s="730" t="s">
        <v>219</v>
      </c>
      <c r="BI10" s="186"/>
      <c r="BJ10" s="728"/>
      <c r="BK10" s="727"/>
      <c r="BL10" s="730" t="s">
        <v>219</v>
      </c>
      <c r="BM10" s="186"/>
      <c r="BN10" s="746">
        <f>BN9-BP18</f>
        <v>56939164.029999994</v>
      </c>
      <c r="BO10" s="294" t="s">
        <v>578</v>
      </c>
      <c r="BP10" s="681">
        <f>BP9/BB17</f>
        <v>10.409167506492203</v>
      </c>
      <c r="BQ10" s="682" t="s">
        <v>514</v>
      </c>
      <c r="BR10" s="177"/>
      <c r="BS10" s="746">
        <f>BS9-BU18</f>
        <v>55570220.669999994</v>
      </c>
      <c r="BT10" s="294" t="s">
        <v>578</v>
      </c>
      <c r="BU10" s="681">
        <f>BU9/BB17</f>
        <v>-8.1239072328910158</v>
      </c>
      <c r="BV10" s="273" t="s">
        <v>584</v>
      </c>
      <c r="BW10" s="186"/>
      <c r="BX10" s="186"/>
      <c r="BY10" s="186"/>
      <c r="BZ10" s="186"/>
      <c r="CA10" s="186"/>
      <c r="CB10" s="186"/>
      <c r="CC10" s="186"/>
      <c r="CD10" s="187"/>
      <c r="CE10" s="174"/>
      <c r="CF10" s="516" t="s">
        <v>219</v>
      </c>
      <c r="CG10" s="186"/>
      <c r="CH10" s="186"/>
      <c r="CI10" s="181"/>
      <c r="CJ10" s="337"/>
      <c r="CK10" s="189"/>
      <c r="CL10" s="181" t="s">
        <v>219</v>
      </c>
      <c r="CM10" s="181"/>
      <c r="CN10" s="519"/>
      <c r="CO10" s="519"/>
      <c r="CP10" s="186"/>
      <c r="CQ10" s="186"/>
      <c r="CR10" s="181"/>
      <c r="CS10" s="337"/>
      <c r="CT10" s="189"/>
      <c r="CU10" s="181" t="s">
        <v>219</v>
      </c>
      <c r="CV10" s="185"/>
      <c r="CW10" s="185"/>
      <c r="CX10" s="186"/>
      <c r="CY10" s="186"/>
      <c r="CZ10" s="186"/>
      <c r="DA10" s="186"/>
      <c r="DB10" s="186"/>
      <c r="DC10" s="186"/>
      <c r="DD10" s="186"/>
      <c r="DE10" s="181"/>
      <c r="DF10" s="337"/>
      <c r="DG10" s="189"/>
      <c r="DH10" s="181" t="s">
        <v>219</v>
      </c>
      <c r="DI10" s="216">
        <f>SUM(DI11:DI17)</f>
        <v>52440014.129999995</v>
      </c>
      <c r="DJ10" s="185"/>
      <c r="DK10" s="186"/>
      <c r="DL10" s="186"/>
      <c r="DM10" s="186"/>
      <c r="DN10" s="186"/>
      <c r="DO10" s="186"/>
      <c r="DP10" s="186"/>
      <c r="DQ10" s="189"/>
      <c r="DR10" s="189"/>
      <c r="DS10" s="189"/>
      <c r="DT10" s="181" t="s">
        <v>219</v>
      </c>
      <c r="DU10" s="216">
        <f>SUM(DU11:DU17)</f>
        <v>52496455.93</v>
      </c>
      <c r="DV10" s="185"/>
      <c r="DW10" s="189"/>
      <c r="DX10" s="181"/>
      <c r="DY10" s="186"/>
      <c r="DZ10" s="186"/>
      <c r="EA10" s="186"/>
      <c r="EB10" s="189"/>
      <c r="EC10" s="189"/>
      <c r="ED10" s="189"/>
      <c r="EE10" s="181" t="s">
        <v>219</v>
      </c>
      <c r="EF10" s="216">
        <f>SUM(EF11:EF17)</f>
        <v>52930724.07</v>
      </c>
      <c r="EG10" s="185"/>
      <c r="EH10" s="189"/>
      <c r="EI10" s="181"/>
      <c r="EJ10" s="186"/>
      <c r="EK10" s="186"/>
      <c r="EL10" s="186"/>
      <c r="EM10" s="186"/>
      <c r="EN10" s="186"/>
      <c r="EO10" s="189"/>
      <c r="EP10" s="189"/>
      <c r="EQ10" s="181" t="s">
        <v>219</v>
      </c>
      <c r="ER10" s="216">
        <f>SUM(ER11:ER17)</f>
        <v>56226747.870000005</v>
      </c>
      <c r="ES10" s="216"/>
      <c r="ET10" s="216"/>
      <c r="EU10" s="216"/>
      <c r="EV10" s="216"/>
      <c r="EW10" s="216"/>
      <c r="EX10" s="216"/>
      <c r="EY10" s="216"/>
      <c r="EZ10" s="216"/>
      <c r="FA10" s="216"/>
      <c r="FB10" s="603"/>
      <c r="FC10" s="595" t="s">
        <v>219</v>
      </c>
      <c r="FD10" s="595" t="s">
        <v>219</v>
      </c>
      <c r="FE10" s="593"/>
      <c r="FF10" s="598"/>
      <c r="FG10" s="598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X10" s="186"/>
      <c r="FY10" s="186"/>
      <c r="FZ10" s="186"/>
      <c r="GA10" s="186"/>
      <c r="GB10" s="186"/>
      <c r="GC10" s="325"/>
      <c r="GE10" s="181"/>
      <c r="GF10" s="337"/>
      <c r="GG10" s="189"/>
      <c r="GH10" s="181" t="s">
        <v>219</v>
      </c>
      <c r="GI10" s="181"/>
      <c r="GJ10" s="181"/>
      <c r="GK10" s="337"/>
      <c r="GL10" s="189"/>
      <c r="GM10" s="181" t="s">
        <v>219</v>
      </c>
      <c r="GN10" s="181"/>
      <c r="GO10" s="181"/>
      <c r="GP10" s="337"/>
      <c r="GQ10" s="189"/>
      <c r="GR10" s="181" t="s">
        <v>219</v>
      </c>
      <c r="GS10" s="181"/>
      <c r="GT10" s="181"/>
      <c r="GU10" s="181"/>
      <c r="GW10" s="181" t="s">
        <v>219</v>
      </c>
      <c r="GY10" s="181"/>
      <c r="GZ10" s="188" t="s">
        <v>220</v>
      </c>
      <c r="HA10" s="189" t="s">
        <v>221</v>
      </c>
      <c r="HB10" s="181" t="s">
        <v>219</v>
      </c>
      <c r="HC10" s="186"/>
      <c r="HD10" s="188" t="s">
        <v>222</v>
      </c>
      <c r="HE10" s="189" t="s">
        <v>223</v>
      </c>
      <c r="HF10" s="181" t="s">
        <v>219</v>
      </c>
      <c r="HG10" s="181"/>
      <c r="HH10" s="188" t="s">
        <v>222</v>
      </c>
      <c r="HI10" s="189" t="s">
        <v>224</v>
      </c>
      <c r="HJ10" s="181" t="s">
        <v>219</v>
      </c>
      <c r="HK10" s="186"/>
      <c r="HL10" s="188" t="s">
        <v>222</v>
      </c>
      <c r="HM10" s="189" t="s">
        <v>225</v>
      </c>
      <c r="HN10" s="181" t="s">
        <v>219</v>
      </c>
      <c r="HO10" s="185"/>
      <c r="HP10" s="186"/>
      <c r="HQ10" s="188" t="s">
        <v>222</v>
      </c>
      <c r="HR10" s="189" t="s">
        <v>226</v>
      </c>
      <c r="HS10" s="181" t="s">
        <v>219</v>
      </c>
      <c r="HT10" s="185"/>
      <c r="HU10" s="186"/>
      <c r="HV10" s="186"/>
      <c r="HW10" s="186"/>
      <c r="HX10" s="190" t="s">
        <v>222</v>
      </c>
      <c r="HY10" s="189" t="s">
        <v>227</v>
      </c>
      <c r="HZ10" s="181" t="s">
        <v>219</v>
      </c>
      <c r="IA10" s="185"/>
      <c r="IB10" s="186"/>
      <c r="IC10" s="186"/>
      <c r="ID10" s="186"/>
      <c r="IE10" s="186"/>
      <c r="IG10" s="191"/>
      <c r="II10" s="181" t="s">
        <v>219</v>
      </c>
      <c r="IK10" s="181" t="s">
        <v>219</v>
      </c>
      <c r="IM10" s="181" t="s">
        <v>219</v>
      </c>
      <c r="IO10" s="181" t="s">
        <v>219</v>
      </c>
      <c r="IP10" s="181"/>
      <c r="IQ10" s="181"/>
      <c r="IR10" s="181"/>
    </row>
    <row r="11" spans="1:266" ht="60" x14ac:dyDescent="0.25">
      <c r="A11" s="192" t="s">
        <v>228</v>
      </c>
      <c r="B11" s="193" t="s">
        <v>229</v>
      </c>
      <c r="C11" s="145" t="s">
        <v>230</v>
      </c>
      <c r="D11" s="194">
        <v>26712</v>
      </c>
      <c r="E11" s="194">
        <v>11016</v>
      </c>
      <c r="F11" s="194">
        <v>11016</v>
      </c>
      <c r="G11" s="540">
        <v>26712</v>
      </c>
      <c r="H11" s="540">
        <v>26712</v>
      </c>
      <c r="I11" s="195">
        <v>341.19</v>
      </c>
      <c r="J11" s="789">
        <f>D11*I11-29.31</f>
        <v>9113837.9699999988</v>
      </c>
      <c r="K11" s="195">
        <v>341.19</v>
      </c>
      <c r="L11" s="789">
        <f>G11*K11-29.31</f>
        <v>9113837.9699999988</v>
      </c>
      <c r="M11" s="195">
        <v>341.19</v>
      </c>
      <c r="N11" s="789">
        <f>H11*M11-29.31</f>
        <v>9113837.9699999988</v>
      </c>
      <c r="O11" s="196"/>
      <c r="P11" s="196"/>
      <c r="Q11" s="197">
        <v>11016</v>
      </c>
      <c r="R11" s="198">
        <v>279.39999999999998</v>
      </c>
      <c r="S11" s="513">
        <f t="shared" ref="S11:S16" si="0">R11*Q11</f>
        <v>3077870.4</v>
      </c>
      <c r="T11" s="196"/>
      <c r="U11" s="197">
        <v>11017</v>
      </c>
      <c r="V11" s="198">
        <f>279.4-0.04</f>
        <v>279.35999999999996</v>
      </c>
      <c r="W11" s="513">
        <f>U11*V11</f>
        <v>3077709.1199999996</v>
      </c>
      <c r="X11" s="196"/>
      <c r="Y11" s="197">
        <v>11018</v>
      </c>
      <c r="Z11" s="198">
        <f>279.4-0.05-0.02</f>
        <v>279.33</v>
      </c>
      <c r="AA11" s="513">
        <f>Y11*Z11</f>
        <v>3077657.94</v>
      </c>
      <c r="AB11" s="196"/>
      <c r="AC11" s="196"/>
      <c r="AD11" s="196"/>
      <c r="AE11" s="195">
        <f>R11+$AF$9</f>
        <v>361.88257536156129</v>
      </c>
      <c r="AF11" s="205">
        <f>AE11*Q11</f>
        <v>3986498.4501829594</v>
      </c>
      <c r="AG11" s="196"/>
      <c r="AH11" s="195">
        <f>V11+AI10</f>
        <v>221.27763010819911</v>
      </c>
      <c r="AI11" s="205">
        <f>AH11*U11</f>
        <v>2437815.6509020296</v>
      </c>
      <c r="AJ11" s="196"/>
      <c r="AK11" s="195">
        <f>Z11+$AL$10</f>
        <v>177.02823368358548</v>
      </c>
      <c r="AL11" s="205">
        <f>AK11*Y11</f>
        <v>1950497.078725745</v>
      </c>
      <c r="AM11" s="177"/>
      <c r="AN11" s="196"/>
      <c r="AO11" s="196"/>
      <c r="AP11" s="195">
        <f>R11+$AF$9</f>
        <v>361.88257536156129</v>
      </c>
      <c r="AQ11" s="205">
        <f>AP11*Q11</f>
        <v>3986498.4501829594</v>
      </c>
      <c r="AR11" s="196"/>
      <c r="AS11" s="196"/>
      <c r="AT11" s="195">
        <f>R11+$AF$9+$AU$10</f>
        <v>363.0783411744207</v>
      </c>
      <c r="AU11" s="205">
        <f>AT11*Q11</f>
        <v>3999671.0063774185</v>
      </c>
      <c r="AV11" s="196"/>
      <c r="AW11" s="196"/>
      <c r="AX11" s="195">
        <f>AT11+$AY$10</f>
        <v>371.44959008538075</v>
      </c>
      <c r="AY11" s="205">
        <f>AX11*Q11</f>
        <v>4091888.6843805541</v>
      </c>
      <c r="AZ11" s="196"/>
      <c r="BA11" s="196"/>
      <c r="BB11" s="510">
        <f>11016+17568</f>
        <v>28584</v>
      </c>
      <c r="BC11" s="332">
        <f>279.4+48.07</f>
        <v>327.46999999999997</v>
      </c>
      <c r="BD11" s="199">
        <f t="shared" ref="BD11:BD16" si="1">BC11*BB11</f>
        <v>9360402.4799999986</v>
      </c>
      <c r="BE11" s="196"/>
      <c r="BF11" s="514">
        <f>11017+17569</f>
        <v>28586</v>
      </c>
      <c r="BG11" s="332">
        <f>279.4-0.04+9.65</f>
        <v>289.00999999999993</v>
      </c>
      <c r="BH11" s="199">
        <f>BF11*BG11</f>
        <v>8261639.8599999985</v>
      </c>
      <c r="BI11" s="196"/>
      <c r="BJ11" s="514">
        <f>11018+17570</f>
        <v>28588</v>
      </c>
      <c r="BK11" s="332">
        <f>279.4-0.05-0.02+9.65</f>
        <v>288.97999999999996</v>
      </c>
      <c r="BL11" s="199">
        <f>BJ11*BK11</f>
        <v>8261360.2399999993</v>
      </c>
      <c r="BM11" s="196"/>
      <c r="BN11" s="196"/>
      <c r="BO11" s="663">
        <f>BC11+$BP$10</f>
        <v>337.87916750649219</v>
      </c>
      <c r="BP11" s="199">
        <f>BO11*BB11</f>
        <v>9657938.1240055729</v>
      </c>
      <c r="BQ11" s="196"/>
      <c r="BR11" s="196"/>
      <c r="BS11" s="196"/>
      <c r="BT11" s="663">
        <f>BO11+$BU$10</f>
        <v>329.75526027360115</v>
      </c>
      <c r="BU11" s="199">
        <f>BT11*BB11</f>
        <v>9425724.3596606161</v>
      </c>
      <c r="BV11" s="196"/>
      <c r="BW11" s="196"/>
      <c r="BX11" s="196"/>
      <c r="BY11" s="196"/>
      <c r="BZ11" s="196"/>
      <c r="CA11" s="196"/>
      <c r="CB11" s="196"/>
      <c r="CC11" s="196"/>
      <c r="CD11" s="197">
        <v>9720</v>
      </c>
      <c r="CE11" s="198">
        <v>266.89999999999998</v>
      </c>
      <c r="CF11" s="513">
        <f t="shared" ref="CF11:CF16" si="2">CE11*CD11</f>
        <v>2594268</v>
      </c>
      <c r="CG11" s="196"/>
      <c r="CH11" s="196"/>
      <c r="CI11" s="330" t="s">
        <v>373</v>
      </c>
      <c r="CJ11" s="331">
        <f>CN11+CN12+CN13+CN14</f>
        <v>17873470.350000001</v>
      </c>
      <c r="CK11" s="381">
        <v>266.89999999999998</v>
      </c>
      <c r="CL11" s="383">
        <f>CK11*CD11</f>
        <v>2594268</v>
      </c>
      <c r="CM11" s="177"/>
      <c r="CN11" s="205">
        <v>1733600</v>
      </c>
      <c r="CO11" s="520" t="s">
        <v>375</v>
      </c>
      <c r="CP11" s="196"/>
      <c r="CQ11" s="196"/>
      <c r="CR11" s="330" t="s">
        <v>373</v>
      </c>
      <c r="CS11" s="331">
        <f>CV11+CV12+CV13+CV14</f>
        <v>22351690.350000001</v>
      </c>
      <c r="CT11" s="531">
        <f>$CK$11+69.8</f>
        <v>336.7</v>
      </c>
      <c r="CU11" s="383">
        <f t="shared" ref="CU11:CU16" si="3">CT11*CD11</f>
        <v>3272724</v>
      </c>
      <c r="CV11" s="205">
        <v>1733600</v>
      </c>
      <c r="CW11" s="520" t="s">
        <v>375</v>
      </c>
      <c r="CX11" s="196"/>
      <c r="CY11" s="196"/>
      <c r="CZ11" s="531">
        <f>$CK$11+70.74</f>
        <v>337.64</v>
      </c>
      <c r="DA11" s="383">
        <f>CZ11*CD11</f>
        <v>3281860.8</v>
      </c>
      <c r="DB11" s="196"/>
      <c r="DC11" s="196"/>
      <c r="DD11" s="196"/>
      <c r="DE11" s="330" t="s">
        <v>373</v>
      </c>
      <c r="DF11" s="331">
        <f>DI11+DI12+DI13+DI14</f>
        <v>24047729.91</v>
      </c>
      <c r="DG11" s="531">
        <f>$CK$11+70.74+25.8</f>
        <v>363.44</v>
      </c>
      <c r="DH11" s="383">
        <f>DG11*$CD$11</f>
        <v>3532636.8</v>
      </c>
      <c r="DI11" s="205">
        <v>1733600</v>
      </c>
      <c r="DJ11" s="520" t="s">
        <v>375</v>
      </c>
      <c r="DK11" s="189"/>
      <c r="DL11" s="189"/>
      <c r="DM11" s="189"/>
      <c r="DN11" s="189"/>
      <c r="DO11" s="189"/>
      <c r="DP11" s="189"/>
      <c r="DQ11" s="330" t="s">
        <v>373</v>
      </c>
      <c r="DR11" s="331">
        <f>DU11+DU12+DU13+DU14</f>
        <v>24104171.710000001</v>
      </c>
      <c r="DS11" s="531">
        <f>$CK$11+70.74+25.8+0.88</f>
        <v>364.32</v>
      </c>
      <c r="DT11" s="383">
        <f>DS11*$CD$11</f>
        <v>3541190.4</v>
      </c>
      <c r="DU11" s="205">
        <v>1790041.8</v>
      </c>
      <c r="DV11" s="520" t="s">
        <v>375</v>
      </c>
      <c r="DW11" s="216"/>
      <c r="DX11" s="177"/>
      <c r="DY11" s="189"/>
      <c r="DZ11" s="189"/>
      <c r="EA11" s="189"/>
      <c r="EB11" s="330" t="s">
        <v>373</v>
      </c>
      <c r="EC11" s="331">
        <f>EF11+EF12+EF13+EF14</f>
        <v>24104171.710000001</v>
      </c>
      <c r="ED11" s="531">
        <f>$CK$11+70.74+25.8+0.88</f>
        <v>364.32</v>
      </c>
      <c r="EE11" s="383">
        <f>ED11*$CD$11</f>
        <v>3541190.4</v>
      </c>
      <c r="EF11" s="205">
        <v>1790041.8</v>
      </c>
      <c r="EG11" s="520" t="s">
        <v>375</v>
      </c>
      <c r="EH11" s="216"/>
      <c r="EI11" s="177"/>
      <c r="EJ11" s="189"/>
      <c r="EK11" s="189"/>
      <c r="EL11" s="189"/>
      <c r="EM11" s="189"/>
      <c r="EN11" s="330" t="s">
        <v>373</v>
      </c>
      <c r="EO11" s="331">
        <f>ER11+ER12+ER13+ER14+0.06</f>
        <v>28972374.57</v>
      </c>
      <c r="EP11" s="531">
        <f>$CK$11+70.74+25.8+0.88+75.89</f>
        <v>440.21</v>
      </c>
      <c r="EQ11" s="383">
        <f>EP11*$CD$11</f>
        <v>4278841.2</v>
      </c>
      <c r="ER11" s="512">
        <v>1790041.8</v>
      </c>
      <c r="ES11" s="574" t="s">
        <v>375</v>
      </c>
      <c r="ET11" s="189"/>
      <c r="EU11" s="189"/>
      <c r="EV11" s="189"/>
      <c r="EW11" s="189"/>
      <c r="EX11" s="189"/>
      <c r="EY11" s="189"/>
      <c r="EZ11" s="189"/>
      <c r="FA11" s="607" t="s">
        <v>437</v>
      </c>
      <c r="FB11" s="604">
        <f>9720-4536</f>
        <v>5184</v>
      </c>
      <c r="FC11" s="590">
        <f>364.32+263.61</f>
        <v>627.93000000000006</v>
      </c>
      <c r="FD11" s="511">
        <f t="shared" ref="FD11:FD16" si="4">FC11*FB11</f>
        <v>3255189.12</v>
      </c>
      <c r="FE11" s="332">
        <v>266.89999999999998</v>
      </c>
      <c r="FF11" s="599">
        <f>266.9+113.87</f>
        <v>380.77</v>
      </c>
      <c r="FG11" s="199">
        <f>FF11*FB11</f>
        <v>1973911.68</v>
      </c>
      <c r="FH11" s="177"/>
      <c r="FI11" s="177"/>
      <c r="FJ11" s="177"/>
      <c r="FK11" s="177"/>
      <c r="FL11" s="4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X11" s="216"/>
      <c r="FY11" s="177"/>
      <c r="FZ11" s="189"/>
      <c r="GA11" s="189"/>
      <c r="GB11" s="189"/>
      <c r="GC11" s="326"/>
      <c r="GD11" s="196"/>
      <c r="GE11" s="330" t="s">
        <v>285</v>
      </c>
      <c r="GF11" s="331">
        <v>32825669</v>
      </c>
      <c r="GG11" s="381">
        <f>FY11+$GG$9</f>
        <v>18.9381585</v>
      </c>
      <c r="GH11" s="382">
        <f>GG11*FX11</f>
        <v>0</v>
      </c>
      <c r="GI11" s="324"/>
      <c r="GJ11" s="330" t="s">
        <v>285</v>
      </c>
      <c r="GK11" s="331">
        <v>32943694.59</v>
      </c>
      <c r="GL11" s="381">
        <f>GG11+$GL$9</f>
        <v>20.845365399999999</v>
      </c>
      <c r="GM11" s="383">
        <f>GL11*FX11</f>
        <v>0</v>
      </c>
      <c r="GN11" s="177"/>
      <c r="GO11" s="330" t="s">
        <v>285</v>
      </c>
      <c r="GP11" s="331">
        <v>33542327.59</v>
      </c>
      <c r="GQ11" s="381">
        <f>GL11+$GQ$9</f>
        <v>30.518835099999997</v>
      </c>
      <c r="GR11" s="383">
        <f>GQ11*FX11</f>
        <v>0</v>
      </c>
      <c r="GS11" s="324"/>
      <c r="GT11" s="324"/>
      <c r="GU11" s="324"/>
      <c r="GV11" s="200">
        <v>347.2314878358751</v>
      </c>
      <c r="GW11" s="201">
        <v>3825102.07</v>
      </c>
      <c r="GX11" s="196"/>
      <c r="GY11" s="196"/>
      <c r="GZ11" s="202">
        <f>33417035.12-4916897.38</f>
        <v>28500137.740000002</v>
      </c>
      <c r="HA11" s="203" t="e">
        <f t="shared" ref="HA11:HA15" si="5">HB11/GH11</f>
        <v>#DIV/0!</v>
      </c>
      <c r="HB11" s="204">
        <f>GW11+$GH$9+0.02</f>
        <v>3825102.09</v>
      </c>
      <c r="HC11" s="196"/>
      <c r="HD11" s="202">
        <f>34422689.12-4916897.38</f>
        <v>29505791.739999998</v>
      </c>
      <c r="HE11" s="203" t="e">
        <f t="shared" ref="HE11:HE15" si="6">HF11/FX11</f>
        <v>#DIV/0!</v>
      </c>
      <c r="HF11" s="205">
        <f>GH11+$HF$9</f>
        <v>167609</v>
      </c>
      <c r="HG11" s="177"/>
      <c r="HH11" s="202">
        <f>34259407.28-4916897.38</f>
        <v>29342509.900000002</v>
      </c>
      <c r="HI11" s="203" t="e">
        <f t="shared" ref="HI11:HI15" si="7">HJ11/FX11</f>
        <v>#DIV/0!</v>
      </c>
      <c r="HJ11" s="205">
        <f>HF11+$HJ$9</f>
        <v>140395.35999999999</v>
      </c>
      <c r="HK11" s="196"/>
      <c r="HL11" s="202">
        <f>HM9-4916897.38</f>
        <v>29893262.900000002</v>
      </c>
      <c r="HM11" s="203" t="e">
        <f t="shared" ref="HM11:HM15" si="8">HN11/FX11</f>
        <v>#DIV/0!</v>
      </c>
      <c r="HN11" s="206">
        <f>HJ11+$HN$9</f>
        <v>232187.52999999997</v>
      </c>
      <c r="HO11" s="195" t="e">
        <f>HM11-HI11</f>
        <v>#DIV/0!</v>
      </c>
      <c r="HP11" s="196" t="e">
        <f>HI11+HO11</f>
        <v>#DIV/0!</v>
      </c>
      <c r="HQ11" s="202">
        <f>HR9-4916897.38</f>
        <v>31171016.900000002</v>
      </c>
      <c r="HR11" s="203" t="e">
        <f t="shared" ref="HR11:HR15" si="9">HS11/FX11</f>
        <v>#DIV/0!</v>
      </c>
      <c r="HS11" s="206">
        <f>HN11+$HS$9</f>
        <v>445146.52999999997</v>
      </c>
      <c r="HT11" s="195" t="e">
        <f>HR11-HM11</f>
        <v>#DIV/0!</v>
      </c>
      <c r="HU11" s="196" t="e">
        <f>HM11+HT11</f>
        <v>#DIV/0!</v>
      </c>
      <c r="HV11" s="196"/>
      <c r="HW11" s="196"/>
      <c r="HX11" s="207">
        <f>HY9-4916897.38</f>
        <v>31766165.580000002</v>
      </c>
      <c r="HY11" s="203" t="e">
        <f t="shared" ref="HY11:HY15" si="10">HZ11/FX11</f>
        <v>#DIV/0!</v>
      </c>
      <c r="HZ11" s="206">
        <f>HS11+$HZ$9</f>
        <v>544337.97399999993</v>
      </c>
      <c r="IA11" s="195" t="e">
        <f>HY11-HT11</f>
        <v>#DIV/0!</v>
      </c>
      <c r="IB11" s="196" t="e">
        <f>HT11+IA11</f>
        <v>#DIV/0!</v>
      </c>
      <c r="IC11" s="196"/>
      <c r="ID11" s="196"/>
      <c r="IE11" s="196"/>
      <c r="IF11" s="208">
        <v>221.75</v>
      </c>
      <c r="IG11" s="209">
        <v>21600</v>
      </c>
      <c r="IH11" s="210">
        <v>199</v>
      </c>
      <c r="II11" s="211">
        <v>4298400</v>
      </c>
      <c r="IJ11" s="210">
        <f t="shared" ref="IJ11:IJ16" si="11">IK11/IG11</f>
        <v>207.46274675925926</v>
      </c>
      <c r="IK11" s="211">
        <f t="shared" ref="IK11:IK16" si="12">II11+$IK$9</f>
        <v>4481195.33</v>
      </c>
      <c r="IL11" s="210">
        <f t="shared" ref="IL11:IL16" si="13">IM11/IG11</f>
        <v>220.83825601851854</v>
      </c>
      <c r="IM11" s="211">
        <f>IK11+$IM$9</f>
        <v>4770106.33</v>
      </c>
      <c r="IN11" s="210">
        <f t="shared" ref="IN11:IN16" si="14">IO11/IG11</f>
        <v>221.36449058657408</v>
      </c>
      <c r="IO11" s="211">
        <f>IM11+$IO$9</f>
        <v>4781472.9966700003</v>
      </c>
      <c r="IP11" s="210">
        <f t="shared" ref="IP11:IP16" si="15">IQ11/IG11</f>
        <v>221.75029305555555</v>
      </c>
      <c r="IQ11" s="211">
        <f>IO11+$IQ$9</f>
        <v>4789806.33</v>
      </c>
      <c r="IR11" s="211"/>
    </row>
    <row r="12" spans="1:266" ht="48" x14ac:dyDescent="0.25">
      <c r="A12" s="192" t="s">
        <v>228</v>
      </c>
      <c r="B12" s="193" t="s">
        <v>231</v>
      </c>
      <c r="C12" s="145" t="s">
        <v>230</v>
      </c>
      <c r="D12" s="194">
        <v>27504</v>
      </c>
      <c r="E12" s="194">
        <v>10620</v>
      </c>
      <c r="F12" s="194">
        <v>10620</v>
      </c>
      <c r="G12" s="540">
        <v>27504</v>
      </c>
      <c r="H12" s="540">
        <v>27504</v>
      </c>
      <c r="I12" s="195">
        <v>341.23</v>
      </c>
      <c r="J12" s="195">
        <f t="shared" ref="J12:J16" si="16">D12*I12</f>
        <v>9385189.9199999999</v>
      </c>
      <c r="K12" s="195">
        <v>341.23</v>
      </c>
      <c r="L12" s="195">
        <f t="shared" ref="L12:L16" si="17">G12*K12</f>
        <v>9385189.9199999999</v>
      </c>
      <c r="M12" s="195">
        <v>341.23</v>
      </c>
      <c r="N12" s="195">
        <f t="shared" ref="N12:N16" si="18">H12*M12</f>
        <v>9385189.9199999999</v>
      </c>
      <c r="O12" s="212"/>
      <c r="P12" s="212"/>
      <c r="Q12" s="197">
        <v>10620</v>
      </c>
      <c r="R12" s="511">
        <v>279.41000000000003</v>
      </c>
      <c r="S12" s="513">
        <f t="shared" si="0"/>
        <v>2967334.2</v>
      </c>
      <c r="T12" s="212"/>
      <c r="U12" s="197">
        <v>10621</v>
      </c>
      <c r="V12" s="590">
        <f>279.41-0.02</f>
        <v>279.39000000000004</v>
      </c>
      <c r="W12" s="513">
        <f t="shared" ref="W12:W16" si="19">U12*V12</f>
        <v>2967401.1900000004</v>
      </c>
      <c r="X12" s="212"/>
      <c r="Y12" s="197">
        <v>10622</v>
      </c>
      <c r="Z12" s="590">
        <f>279.41-0.04</f>
        <v>279.37</v>
      </c>
      <c r="AA12" s="513">
        <f t="shared" ref="AA12:AA16" si="20">Y12*Z12</f>
        <v>2967468.14</v>
      </c>
      <c r="AB12" s="212"/>
      <c r="AC12" s="212"/>
      <c r="AD12" s="212"/>
      <c r="AE12" s="195">
        <f t="shared" ref="AE12:AE16" si="21">R12+$AF$9</f>
        <v>361.89257536156134</v>
      </c>
      <c r="AF12" s="205">
        <f t="shared" ref="AF12:AF16" si="22">AE12*Q12</f>
        <v>3843299.1503397813</v>
      </c>
      <c r="AG12" s="212"/>
      <c r="AH12" s="195">
        <f>V12+AI10</f>
        <v>221.30763010819919</v>
      </c>
      <c r="AI12" s="205">
        <f t="shared" ref="AI12:AI16" si="23">AH12*U12</f>
        <v>2350508.3393791835</v>
      </c>
      <c r="AJ12" s="212"/>
      <c r="AK12" s="195">
        <f t="shared" ref="AK12:AK16" si="24">Z12+$AL$10</f>
        <v>177.0682336835855</v>
      </c>
      <c r="AL12" s="205">
        <f t="shared" ref="AL12:AL16" si="25">AK12*Y12</f>
        <v>1880818.7781870451</v>
      </c>
      <c r="AM12" s="177"/>
      <c r="AN12" s="212"/>
      <c r="AO12" s="212"/>
      <c r="AP12" s="195">
        <f t="shared" ref="AP12:AP16" si="26">R12+$AF$9</f>
        <v>361.89257536156134</v>
      </c>
      <c r="AQ12" s="205">
        <f t="shared" ref="AQ12:AQ16" si="27">AP12*Q12</f>
        <v>3843299.1503397813</v>
      </c>
      <c r="AR12" s="212"/>
      <c r="AS12" s="212"/>
      <c r="AT12" s="195">
        <f>R12+$AF$9+$AU$10</f>
        <v>363.08834117442075</v>
      </c>
      <c r="AU12" s="205">
        <f t="shared" ref="AU12:AU16" si="28">AT12*Q12</f>
        <v>3855998.1832723483</v>
      </c>
      <c r="AV12" s="212"/>
      <c r="AW12" s="212"/>
      <c r="AX12" s="195">
        <f t="shared" ref="AX12:AX16" si="29">AT12+$AY$10</f>
        <v>371.4595900853808</v>
      </c>
      <c r="AY12" s="205">
        <f t="shared" ref="AY12:AY16" si="30">AX12*Q12</f>
        <v>3944900.8467067443</v>
      </c>
      <c r="AZ12" s="212"/>
      <c r="BA12" s="212"/>
      <c r="BB12" s="510">
        <f>10620+17784</f>
        <v>28404</v>
      </c>
      <c r="BC12" s="512">
        <f>279.41+48.07</f>
        <v>327.48</v>
      </c>
      <c r="BD12" s="199">
        <f t="shared" si="1"/>
        <v>9301741.9199999999</v>
      </c>
      <c r="BE12" s="212"/>
      <c r="BF12" s="514">
        <f>10621+17785</f>
        <v>28406</v>
      </c>
      <c r="BG12" s="663">
        <f>279.41-0.02+9.65</f>
        <v>289.04000000000002</v>
      </c>
      <c r="BH12" s="199">
        <f t="shared" ref="BH12:BH16" si="31">BF12*BG12</f>
        <v>8210470.2400000002</v>
      </c>
      <c r="BI12" s="212"/>
      <c r="BJ12" s="514">
        <f>10622+17786</f>
        <v>28408</v>
      </c>
      <c r="BK12" s="663">
        <f>279.41-0.04+9.65</f>
        <v>289.02</v>
      </c>
      <c r="BL12" s="199">
        <f t="shared" ref="BL12:BL16" si="32">BJ12*BK12</f>
        <v>8210480.1599999992</v>
      </c>
      <c r="BM12" s="212"/>
      <c r="BN12" s="212"/>
      <c r="BO12" s="663">
        <f t="shared" ref="BO12:BO16" si="33">BC12+$BP$10</f>
        <v>337.88916750649224</v>
      </c>
      <c r="BP12" s="199">
        <f t="shared" ref="BP12:BP16" si="34">BO12*BB12</f>
        <v>9597403.9138544053</v>
      </c>
      <c r="BQ12" s="212"/>
      <c r="BR12" s="212"/>
      <c r="BS12" s="212"/>
      <c r="BT12" s="663">
        <f>BO12+$BU$10</f>
        <v>329.7652602736012</v>
      </c>
      <c r="BU12" s="199">
        <f t="shared" ref="BU12:BU16" si="35">BT12*BB12</f>
        <v>9366652.4528113678</v>
      </c>
      <c r="BV12" s="212"/>
      <c r="BW12" s="212"/>
      <c r="BX12" s="212"/>
      <c r="BY12" s="212"/>
      <c r="BZ12" s="212"/>
      <c r="CA12" s="212"/>
      <c r="CB12" s="212"/>
      <c r="CC12" s="212"/>
      <c r="CD12" s="197">
        <v>9468</v>
      </c>
      <c r="CE12" s="511">
        <v>266.93</v>
      </c>
      <c r="CF12" s="513">
        <f t="shared" si="2"/>
        <v>2527293.2400000002</v>
      </c>
      <c r="CG12" s="177"/>
      <c r="CH12" s="177"/>
      <c r="CI12" s="330" t="s">
        <v>377</v>
      </c>
      <c r="CJ12" s="331">
        <v>763350.6</v>
      </c>
      <c r="CK12" s="381">
        <v>266.93</v>
      </c>
      <c r="CL12" s="383">
        <f t="shared" ref="CL12:CL16" si="36">CK12*CD12</f>
        <v>2527293.2400000002</v>
      </c>
      <c r="CM12" s="177"/>
      <c r="CN12" s="205">
        <v>3665300</v>
      </c>
      <c r="CO12" s="520" t="s">
        <v>374</v>
      </c>
      <c r="CP12" s="177"/>
      <c r="CQ12" s="177"/>
      <c r="CR12" s="330" t="s">
        <v>377</v>
      </c>
      <c r="CS12" s="331">
        <v>763350.6</v>
      </c>
      <c r="CT12" s="530">
        <f>$CK$12+69.79416</f>
        <v>336.72415999999998</v>
      </c>
      <c r="CU12" s="383">
        <f t="shared" si="3"/>
        <v>3188104.3468799996</v>
      </c>
      <c r="CV12" s="205">
        <v>3824352</v>
      </c>
      <c r="CW12" s="205" t="s">
        <v>374</v>
      </c>
      <c r="CX12" s="177"/>
      <c r="CY12" s="177"/>
      <c r="CZ12" s="539">
        <f>$CK$12+70.735832</f>
        <v>337.66583200000002</v>
      </c>
      <c r="DA12" s="383">
        <f t="shared" ref="DA12:DA16" si="37">CZ12*CD12</f>
        <v>3197020.0973760001</v>
      </c>
      <c r="DB12" s="177"/>
      <c r="DC12" s="212"/>
      <c r="DD12" s="212"/>
      <c r="DE12" s="333" t="s">
        <v>377</v>
      </c>
      <c r="DF12" s="334">
        <v>763350.6</v>
      </c>
      <c r="DG12" s="539">
        <f>$CK$12+70.735832+23.796709</f>
        <v>361.46254100000004</v>
      </c>
      <c r="DH12" s="383">
        <f>DG12*$CD$12</f>
        <v>3422327.3381880005</v>
      </c>
      <c r="DI12" s="205">
        <v>3824352</v>
      </c>
      <c r="DJ12" s="205" t="s">
        <v>374</v>
      </c>
      <c r="DK12" s="177"/>
      <c r="DL12" s="177"/>
      <c r="DM12" s="177"/>
      <c r="DN12" s="177"/>
      <c r="DO12" s="177"/>
      <c r="DP12" s="177"/>
      <c r="DQ12" s="333" t="s">
        <v>377</v>
      </c>
      <c r="DR12" s="334">
        <v>763366.65</v>
      </c>
      <c r="DS12" s="539">
        <f>$CK$12+70.735832+23.796709+0.878737</f>
        <v>362.34127800000005</v>
      </c>
      <c r="DT12" s="383">
        <f>DS12*$CD$12</f>
        <v>3430647.2201040005</v>
      </c>
      <c r="DU12" s="205">
        <v>3824352</v>
      </c>
      <c r="DV12" s="205" t="s">
        <v>374</v>
      </c>
      <c r="DW12" s="559"/>
      <c r="DX12" s="177"/>
      <c r="DY12" s="177"/>
      <c r="DZ12" s="177"/>
      <c r="EA12" s="177"/>
      <c r="EB12" s="333" t="s">
        <v>377</v>
      </c>
      <c r="EC12" s="334">
        <v>763366.65</v>
      </c>
      <c r="ED12" s="539">
        <f>$CK$12+70.735832+23.796709+0.878737</f>
        <v>362.34127800000005</v>
      </c>
      <c r="EE12" s="383">
        <f>ED12*$CD$12</f>
        <v>3430647.2201040005</v>
      </c>
      <c r="EF12" s="205">
        <v>3824352</v>
      </c>
      <c r="EG12" s="205" t="s">
        <v>374</v>
      </c>
      <c r="EH12" s="559"/>
      <c r="EI12" s="177"/>
      <c r="EJ12" s="177"/>
      <c r="EK12" s="177"/>
      <c r="EL12" s="177"/>
      <c r="EM12" s="177"/>
      <c r="EN12" s="333" t="s">
        <v>377</v>
      </c>
      <c r="EO12" s="334">
        <v>763366.65</v>
      </c>
      <c r="EP12" s="583">
        <f>$CK$12+70.735832+23.796709+0.878737+75.892879</f>
        <v>438.23415700000004</v>
      </c>
      <c r="EQ12" s="383">
        <f>EP12*$CD$12</f>
        <v>4149200.9984760005</v>
      </c>
      <c r="ER12" s="512">
        <v>3824352</v>
      </c>
      <c r="ES12" s="512" t="s">
        <v>374</v>
      </c>
      <c r="ET12" s="177"/>
      <c r="EU12" s="177"/>
      <c r="EV12" s="177"/>
      <c r="EW12" s="177"/>
      <c r="EX12" s="177"/>
      <c r="EY12" s="177"/>
      <c r="EZ12" s="177"/>
      <c r="FA12" s="607" t="s">
        <v>327</v>
      </c>
      <c r="FB12" s="604">
        <f>9468-3276</f>
        <v>6192</v>
      </c>
      <c r="FC12" s="588">
        <f>362.34+263.61</f>
        <v>625.95000000000005</v>
      </c>
      <c r="FD12" s="511">
        <f t="shared" si="4"/>
        <v>3875882.4000000004</v>
      </c>
      <c r="FE12" s="332">
        <f>266.93</f>
        <v>266.93</v>
      </c>
      <c r="FF12" s="599">
        <f>266.93+113.87</f>
        <v>380.8</v>
      </c>
      <c r="FG12" s="199">
        <f t="shared" ref="FG12:FG16" si="38">FF12*FB12</f>
        <v>2357913.6000000001</v>
      </c>
      <c r="FH12" s="177"/>
      <c r="FI12" s="177"/>
      <c r="FJ12" s="177"/>
      <c r="FK12" s="177"/>
      <c r="FL12" s="4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X12" s="559"/>
      <c r="FY12" s="177"/>
      <c r="FZ12" s="177"/>
      <c r="GA12" s="177"/>
      <c r="GB12" s="177"/>
      <c r="GC12" s="326"/>
      <c r="GD12" s="212"/>
      <c r="GE12" s="330" t="s">
        <v>284</v>
      </c>
      <c r="GF12" s="331">
        <v>8330911.2800000003</v>
      </c>
      <c r="GG12" s="381">
        <f t="shared" ref="GG12:GG16" si="39">FY12+$GG$9</f>
        <v>18.9381585</v>
      </c>
      <c r="GH12" s="382">
        <f t="shared" ref="GH12:GH16" si="40">GG12*FX12</f>
        <v>0</v>
      </c>
      <c r="GI12" s="177"/>
      <c r="GJ12" s="330" t="s">
        <v>284</v>
      </c>
      <c r="GK12" s="331">
        <v>8330911.2800000003</v>
      </c>
      <c r="GL12" s="381">
        <f t="shared" ref="GL12:GL16" si="41">GG12+$GL$9</f>
        <v>20.845365399999999</v>
      </c>
      <c r="GM12" s="383">
        <f t="shared" ref="GM12:GM16" si="42">GL12*FX12</f>
        <v>0</v>
      </c>
      <c r="GN12" s="177"/>
      <c r="GO12" s="330" t="s">
        <v>284</v>
      </c>
      <c r="GP12" s="331">
        <v>8330911.2800000003</v>
      </c>
      <c r="GQ12" s="381">
        <f t="shared" ref="GQ12:GQ16" si="43">GL12+$GQ$9</f>
        <v>30.518835099999997</v>
      </c>
      <c r="GR12" s="383">
        <f t="shared" ref="GR12:GR16" si="44">GQ12*FX12</f>
        <v>0</v>
      </c>
      <c r="GS12" s="177"/>
      <c r="GT12" s="177"/>
      <c r="GU12" s="177"/>
      <c r="GV12" s="200">
        <v>407.30630218855219</v>
      </c>
      <c r="GW12" s="213">
        <v>2903279.3220000002</v>
      </c>
      <c r="GX12" s="212"/>
      <c r="GY12" s="212"/>
      <c r="GZ12" s="214" t="e">
        <f>(GZ11-#REF!)/6</f>
        <v>#REF!</v>
      </c>
      <c r="HA12" s="203" t="e">
        <f t="shared" si="5"/>
        <v>#DIV/0!</v>
      </c>
      <c r="HB12" s="205">
        <f t="shared" ref="HB12:HB15" si="45">GW12+$GH$9</f>
        <v>2903279.3220000002</v>
      </c>
      <c r="HC12" s="212"/>
      <c r="HD12" s="214">
        <f>(HD11-GF13)/6</f>
        <v>835172.33666666655</v>
      </c>
      <c r="HE12" s="203" t="e">
        <f t="shared" si="6"/>
        <v>#DIV/0!</v>
      </c>
      <c r="HF12" s="205">
        <f>GH12+$HF$9</f>
        <v>167609</v>
      </c>
      <c r="HG12" s="177"/>
      <c r="HH12" s="214">
        <f>(HH11-HD11)/6</f>
        <v>-27213.639999999355</v>
      </c>
      <c r="HI12" s="203" t="e">
        <f t="shared" si="7"/>
        <v>#DIV/0!</v>
      </c>
      <c r="HJ12" s="205">
        <f t="shared" ref="HJ12:HJ15" si="46">HF12+$HJ$9</f>
        <v>140395.35999999999</v>
      </c>
      <c r="HK12" s="212"/>
      <c r="HL12" s="214">
        <f>(HL11-HH11)/6</f>
        <v>91792.166666666672</v>
      </c>
      <c r="HM12" s="203" t="e">
        <f t="shared" si="8"/>
        <v>#DIV/0!</v>
      </c>
      <c r="HN12" s="206">
        <f t="shared" ref="HN12:HN15" si="47">HJ12+$HN$9</f>
        <v>232187.52999999997</v>
      </c>
      <c r="HO12" s="195" t="e">
        <f t="shared" ref="HO12:HO15" si="48">HM12-HI12</f>
        <v>#DIV/0!</v>
      </c>
      <c r="HP12" s="212"/>
      <c r="HQ12" s="214">
        <f>(HQ11-HL11)/6</f>
        <v>212959</v>
      </c>
      <c r="HR12" s="203" t="e">
        <f t="shared" si="9"/>
        <v>#DIV/0!</v>
      </c>
      <c r="HS12" s="206">
        <f t="shared" ref="HS12:HS15" si="49">HN12+$HS$9</f>
        <v>445146.52999999997</v>
      </c>
      <c r="HT12" s="195" t="e">
        <f t="shared" ref="HT12:HT15" si="50">HR12-HM12</f>
        <v>#DIV/0!</v>
      </c>
      <c r="HU12" s="212"/>
      <c r="HV12" s="212"/>
      <c r="HW12" s="212"/>
      <c r="HX12" s="215">
        <f>(HX11-HQ11)/6</f>
        <v>99191.446666666612</v>
      </c>
      <c r="HY12" s="203" t="e">
        <f t="shared" si="10"/>
        <v>#DIV/0!</v>
      </c>
      <c r="HZ12" s="206">
        <f t="shared" ref="HZ12:HZ15" si="51">HS12+$HZ$9</f>
        <v>544337.97399999993</v>
      </c>
      <c r="IA12" s="195" t="e">
        <f t="shared" ref="IA12:IA15" si="52">HY12-HT12</f>
        <v>#DIV/0!</v>
      </c>
      <c r="IB12" s="212"/>
      <c r="IC12" s="212"/>
      <c r="ID12" s="212"/>
      <c r="IE12" s="212"/>
      <c r="IF12" s="208">
        <v>229.88</v>
      </c>
      <c r="IG12" s="209">
        <v>15696</v>
      </c>
      <c r="IH12" s="210">
        <v>198.58</v>
      </c>
      <c r="II12" s="211">
        <v>3116836.4</v>
      </c>
      <c r="IJ12" s="210">
        <f t="shared" si="11"/>
        <v>210.22118565239552</v>
      </c>
      <c r="IK12" s="211">
        <f t="shared" si="12"/>
        <v>3299631.73</v>
      </c>
      <c r="IL12" s="210">
        <f t="shared" si="13"/>
        <v>228.6278497706422</v>
      </c>
      <c r="IM12" s="211">
        <f t="shared" ref="IM12:IM16" si="53">IK12+$IM$9</f>
        <v>3588542.73</v>
      </c>
      <c r="IN12" s="210">
        <f t="shared" si="14"/>
        <v>229.35202578172783</v>
      </c>
      <c r="IO12" s="211">
        <f t="shared" ref="IO12:IO16" si="54">IM12+$IO$9</f>
        <v>3599909.3966700002</v>
      </c>
      <c r="IP12" s="210">
        <f t="shared" si="15"/>
        <v>229.88294661060144</v>
      </c>
      <c r="IQ12" s="211">
        <f t="shared" ref="IQ12:IQ16" si="55">IO12+$IQ$9</f>
        <v>3608242.73</v>
      </c>
      <c r="IR12" s="211"/>
    </row>
    <row r="13" spans="1:266" ht="60" x14ac:dyDescent="0.25">
      <c r="A13" s="192" t="s">
        <v>228</v>
      </c>
      <c r="B13" s="193" t="s">
        <v>232</v>
      </c>
      <c r="C13" s="145" t="s">
        <v>230</v>
      </c>
      <c r="D13" s="194">
        <v>11376</v>
      </c>
      <c r="E13" s="194">
        <v>10080</v>
      </c>
      <c r="F13" s="194">
        <v>10080</v>
      </c>
      <c r="G13" s="540">
        <v>11376</v>
      </c>
      <c r="H13" s="540">
        <v>11376</v>
      </c>
      <c r="I13" s="195">
        <v>341.18</v>
      </c>
      <c r="J13" s="789">
        <f>D13*I13-13.37</f>
        <v>3881250.31</v>
      </c>
      <c r="K13" s="195">
        <v>341.18</v>
      </c>
      <c r="L13" s="789">
        <f>G13*K13-13.37</f>
        <v>3881250.31</v>
      </c>
      <c r="M13" s="195">
        <v>341.18</v>
      </c>
      <c r="N13" s="789">
        <f>H13*M13-13.37</f>
        <v>3881250.31</v>
      </c>
      <c r="O13" s="212"/>
      <c r="P13" s="212"/>
      <c r="Q13" s="197">
        <v>10080</v>
      </c>
      <c r="R13" s="511">
        <v>279.39</v>
      </c>
      <c r="S13" s="513">
        <f t="shared" si="0"/>
        <v>2816251.1999999997</v>
      </c>
      <c r="T13" s="212"/>
      <c r="U13" s="197">
        <v>10080</v>
      </c>
      <c r="V13" s="590">
        <f>279.39</f>
        <v>279.39</v>
      </c>
      <c r="W13" s="513">
        <f t="shared" si="19"/>
        <v>2816251.1999999997</v>
      </c>
      <c r="X13" s="212"/>
      <c r="Y13" s="197">
        <v>10080</v>
      </c>
      <c r="Z13" s="590">
        <v>279.39</v>
      </c>
      <c r="AA13" s="513">
        <f t="shared" si="20"/>
        <v>2816251.1999999997</v>
      </c>
      <c r="AB13" s="212"/>
      <c r="AC13" s="212"/>
      <c r="AD13" s="212"/>
      <c r="AE13" s="195">
        <f t="shared" si="21"/>
        <v>361.8725753615613</v>
      </c>
      <c r="AF13" s="205">
        <f t="shared" si="22"/>
        <v>3647675.559644538</v>
      </c>
      <c r="AG13" s="212"/>
      <c r="AH13" s="195">
        <f>V13+AI10</f>
        <v>221.30763010819913</v>
      </c>
      <c r="AI13" s="205">
        <f t="shared" si="23"/>
        <v>2230780.9114906471</v>
      </c>
      <c r="AJ13" s="212"/>
      <c r="AK13" s="195">
        <f t="shared" si="24"/>
        <v>177.08823368358549</v>
      </c>
      <c r="AL13" s="205">
        <f t="shared" si="25"/>
        <v>1785049.3955305417</v>
      </c>
      <c r="AM13" s="177"/>
      <c r="AN13" s="212"/>
      <c r="AO13" s="212"/>
      <c r="AP13" s="195">
        <f t="shared" si="26"/>
        <v>361.8725753615613</v>
      </c>
      <c r="AQ13" s="205">
        <f t="shared" si="27"/>
        <v>3647675.559644538</v>
      </c>
      <c r="AR13" s="212"/>
      <c r="AS13" s="212"/>
      <c r="AT13" s="195">
        <f t="shared" ref="AT13:AT16" si="56">R13+$AF$9+$AU$10</f>
        <v>363.06834117442071</v>
      </c>
      <c r="AU13" s="205">
        <f t="shared" si="28"/>
        <v>3659728.8790381607</v>
      </c>
      <c r="AV13" s="212"/>
      <c r="AW13" s="212"/>
      <c r="AX13" s="195">
        <f t="shared" si="29"/>
        <v>371.43959008538076</v>
      </c>
      <c r="AY13" s="205">
        <f t="shared" si="30"/>
        <v>3744111.0680606379</v>
      </c>
      <c r="AZ13" s="212"/>
      <c r="BA13" s="212"/>
      <c r="BB13" s="510">
        <f>10080+2700</f>
        <v>12780</v>
      </c>
      <c r="BC13" s="512">
        <f>279.39+48.07</f>
        <v>327.45999999999998</v>
      </c>
      <c r="BD13" s="199">
        <f t="shared" si="1"/>
        <v>4184938.8</v>
      </c>
      <c r="BE13" s="212"/>
      <c r="BF13" s="514">
        <f>10080+2701</f>
        <v>12781</v>
      </c>
      <c r="BG13" s="663">
        <f>279.39+9.64</f>
        <v>289.02999999999997</v>
      </c>
      <c r="BH13" s="199">
        <f t="shared" si="31"/>
        <v>3694092.4299999997</v>
      </c>
      <c r="BI13" s="212"/>
      <c r="BJ13" s="514">
        <f>10080+2702</f>
        <v>12782</v>
      </c>
      <c r="BK13" s="663">
        <f>279.39+9.65</f>
        <v>289.03999999999996</v>
      </c>
      <c r="BL13" s="199">
        <f t="shared" si="32"/>
        <v>3694509.2799999993</v>
      </c>
      <c r="BM13" s="212"/>
      <c r="BN13" s="212"/>
      <c r="BO13" s="663">
        <f t="shared" si="33"/>
        <v>337.8691675064922</v>
      </c>
      <c r="BP13" s="199">
        <f t="shared" si="34"/>
        <v>4317967.9607329704</v>
      </c>
      <c r="BQ13" s="212"/>
      <c r="BR13" s="212"/>
      <c r="BS13" s="212"/>
      <c r="BT13" s="663">
        <f t="shared" ref="BT13:BT16" si="57">BO13+$BU$10</f>
        <v>329.74526027360116</v>
      </c>
      <c r="BU13" s="199">
        <f t="shared" si="35"/>
        <v>4214144.4262966225</v>
      </c>
      <c r="BV13" s="212"/>
      <c r="BW13" s="212"/>
      <c r="BX13" s="212"/>
      <c r="BY13" s="212"/>
      <c r="BZ13" s="212"/>
      <c r="CA13" s="212"/>
      <c r="CB13" s="212"/>
      <c r="CC13" s="212"/>
      <c r="CD13" s="197">
        <v>10080</v>
      </c>
      <c r="CE13" s="511">
        <v>266.58</v>
      </c>
      <c r="CF13" s="513">
        <f t="shared" si="2"/>
        <v>2687126.4</v>
      </c>
      <c r="CG13" s="177"/>
      <c r="CH13" s="177"/>
      <c r="CI13" s="330" t="s">
        <v>378</v>
      </c>
      <c r="CJ13" s="332">
        <f>CJ11-CJ12</f>
        <v>17110119.75</v>
      </c>
      <c r="CK13" s="381">
        <v>266.58</v>
      </c>
      <c r="CL13" s="383">
        <f t="shared" si="36"/>
        <v>2687126.4</v>
      </c>
      <c r="CM13" s="177"/>
      <c r="CN13" s="205">
        <v>10361400</v>
      </c>
      <c r="CO13" s="520" t="s">
        <v>376</v>
      </c>
      <c r="CP13" s="177">
        <f>CN11+CN12+CN13</f>
        <v>15760300</v>
      </c>
      <c r="CQ13" s="177">
        <f>CS13-CJ13</f>
        <v>4478220</v>
      </c>
      <c r="CR13" s="330" t="s">
        <v>378</v>
      </c>
      <c r="CS13" s="332">
        <f>CS11-CS12</f>
        <v>21588339.75</v>
      </c>
      <c r="CT13" s="531">
        <f>$CK$13+69.81</f>
        <v>336.39</v>
      </c>
      <c r="CU13" s="383">
        <f t="shared" si="3"/>
        <v>3390811.1999999997</v>
      </c>
      <c r="CV13" s="205">
        <v>14680568</v>
      </c>
      <c r="CW13" s="520" t="s">
        <v>376</v>
      </c>
      <c r="CX13" s="177">
        <f>CV11+CV12+CV13</f>
        <v>20238520</v>
      </c>
      <c r="CY13" s="177" t="s">
        <v>387</v>
      </c>
      <c r="CZ13" s="531">
        <f>$CK$13+70.74</f>
        <v>337.32</v>
      </c>
      <c r="DA13" s="383">
        <f t="shared" si="37"/>
        <v>3400185.6</v>
      </c>
      <c r="DB13" s="177"/>
      <c r="DC13" s="212"/>
      <c r="DD13" s="212"/>
      <c r="DE13" s="333" t="s">
        <v>378</v>
      </c>
      <c r="DF13" s="545">
        <f>DF11-DF12</f>
        <v>23284379.309999999</v>
      </c>
      <c r="DG13" s="531">
        <f>$CK$13+70.74+25.8</f>
        <v>363.12</v>
      </c>
      <c r="DH13" s="383">
        <f>DG13*$CD$13</f>
        <v>3660249.6</v>
      </c>
      <c r="DI13" s="205">
        <f>14680568+1562388</f>
        <v>16242956</v>
      </c>
      <c r="DJ13" s="520" t="s">
        <v>376</v>
      </c>
      <c r="DK13" s="216">
        <f>DI11+DI12+DI13</f>
        <v>21800908</v>
      </c>
      <c r="DL13" s="189"/>
      <c r="DM13" s="189"/>
      <c r="DN13" s="189"/>
      <c r="DO13" s="189"/>
      <c r="DP13" s="189"/>
      <c r="DQ13" s="333" t="s">
        <v>378</v>
      </c>
      <c r="DR13" s="545">
        <f>DR11-DR12</f>
        <v>23340805.060000002</v>
      </c>
      <c r="DS13" s="531">
        <f>$CK$13+70.74+25.8+0.88</f>
        <v>364</v>
      </c>
      <c r="DT13" s="383">
        <f>DS13*$CD$13</f>
        <v>3669120</v>
      </c>
      <c r="DU13" s="205">
        <f>14680568+1562388</f>
        <v>16242956</v>
      </c>
      <c r="DV13" s="520" t="s">
        <v>376</v>
      </c>
      <c r="DW13" s="216">
        <f>DU11+DU12+DU13</f>
        <v>21857349.800000001</v>
      </c>
      <c r="DX13" s="177"/>
      <c r="DY13" s="189"/>
      <c r="DZ13" s="189"/>
      <c r="EA13" s="189"/>
      <c r="EB13" s="333" t="s">
        <v>378</v>
      </c>
      <c r="EC13" s="545">
        <f>EC11-EC12</f>
        <v>23340805.060000002</v>
      </c>
      <c r="ED13" s="531">
        <f>$CK$13+70.74+25.8+0.88</f>
        <v>364</v>
      </c>
      <c r="EE13" s="383">
        <f>ED13*$CD$13</f>
        <v>3669120</v>
      </c>
      <c r="EF13" s="205">
        <f>14680568+1562388</f>
        <v>16242956</v>
      </c>
      <c r="EG13" s="520" t="s">
        <v>376</v>
      </c>
      <c r="EH13" s="216">
        <f>EF11+EF12+EF13</f>
        <v>21857349.800000001</v>
      </c>
      <c r="EI13" s="177"/>
      <c r="EJ13" s="189"/>
      <c r="EK13" s="189"/>
      <c r="EL13" s="189"/>
      <c r="EM13" s="189"/>
      <c r="EN13" s="333" t="s">
        <v>378</v>
      </c>
      <c r="EO13" s="545">
        <f>EO11-EO12</f>
        <v>28209007.920000002</v>
      </c>
      <c r="EP13" s="531">
        <f>$CK$13+70.74+25.8+0.88+75.89</f>
        <v>439.89</v>
      </c>
      <c r="EQ13" s="383">
        <f>EP13*$CD$13</f>
        <v>4434091.2</v>
      </c>
      <c r="ER13" s="512">
        <f>14680568+1562388+4868202.8</f>
        <v>21111158.800000001</v>
      </c>
      <c r="ES13" s="574" t="s">
        <v>376</v>
      </c>
      <c r="ET13" s="189"/>
      <c r="EU13" s="189"/>
      <c r="EV13" s="189"/>
      <c r="EW13" s="189"/>
      <c r="EX13" s="189"/>
      <c r="EY13" s="189"/>
      <c r="EZ13" s="189"/>
      <c r="FA13" s="607" t="s">
        <v>438</v>
      </c>
      <c r="FB13" s="604">
        <f>10080-5984</f>
        <v>4096</v>
      </c>
      <c r="FC13" s="511">
        <f>364+263.61</f>
        <v>627.61</v>
      </c>
      <c r="FD13" s="511">
        <f t="shared" si="4"/>
        <v>2570690.5600000001</v>
      </c>
      <c r="FE13" s="332">
        <f>266.58</f>
        <v>266.58</v>
      </c>
      <c r="FF13" s="600">
        <f>266.58+113.875313</f>
        <v>380.45531299999999</v>
      </c>
      <c r="FG13" s="199">
        <f t="shared" si="38"/>
        <v>1558344.962048</v>
      </c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X13" s="216">
        <f>ER11+ER12+ER13</f>
        <v>26725552.600000001</v>
      </c>
      <c r="FY13" s="177"/>
      <c r="FZ13" s="189"/>
      <c r="GA13" s="189"/>
      <c r="GB13" s="189"/>
      <c r="GC13" s="326"/>
      <c r="GD13" s="212"/>
      <c r="GE13" s="330" t="s">
        <v>283</v>
      </c>
      <c r="GF13" s="332">
        <f>GF11-GF12</f>
        <v>24494757.719999999</v>
      </c>
      <c r="GG13" s="381">
        <f t="shared" si="39"/>
        <v>18.9381585</v>
      </c>
      <c r="GH13" s="382">
        <f t="shared" si="40"/>
        <v>506132751.13888711</v>
      </c>
      <c r="GI13" s="177"/>
      <c r="GJ13" s="330" t="s">
        <v>283</v>
      </c>
      <c r="GK13" s="332">
        <f>GK11-GK12</f>
        <v>24612783.309999999</v>
      </c>
      <c r="GL13" s="381">
        <f t="shared" si="41"/>
        <v>20.845365399999999</v>
      </c>
      <c r="GM13" s="383">
        <f t="shared" si="42"/>
        <v>557103909.46392</v>
      </c>
      <c r="GN13" s="177"/>
      <c r="GO13" s="330" t="s">
        <v>283</v>
      </c>
      <c r="GP13" s="332">
        <f>GP11-GP12</f>
        <v>25211416.309999999</v>
      </c>
      <c r="GQ13" s="381">
        <f t="shared" si="43"/>
        <v>30.518835099999997</v>
      </c>
      <c r="GR13" s="383">
        <f t="shared" si="44"/>
        <v>815632732.75577617</v>
      </c>
      <c r="GS13" s="177"/>
      <c r="GT13" s="177"/>
      <c r="GU13" s="177"/>
      <c r="GV13" s="200">
        <v>433.15557916666666</v>
      </c>
      <c r="GW13" s="213">
        <v>3118720.17</v>
      </c>
      <c r="GX13" s="212"/>
      <c r="GY13" s="212"/>
      <c r="GZ13" s="212"/>
      <c r="HA13" s="203">
        <f t="shared" si="5"/>
        <v>6.1618620075115371E-3</v>
      </c>
      <c r="HB13" s="205">
        <f t="shared" si="45"/>
        <v>3118720.17</v>
      </c>
      <c r="HC13" s="212"/>
      <c r="HD13" s="216"/>
      <c r="HE13" s="203">
        <f t="shared" si="6"/>
        <v>18.944429988657635</v>
      </c>
      <c r="HF13" s="205">
        <f>GH13+$HF$9</f>
        <v>506300360.13888711</v>
      </c>
      <c r="HG13" s="177"/>
      <c r="HH13" s="212"/>
      <c r="HI13" s="203">
        <f t="shared" si="7"/>
        <v>18.943411725708792</v>
      </c>
      <c r="HJ13" s="205">
        <f t="shared" si="46"/>
        <v>506273146.49888712</v>
      </c>
      <c r="HK13" s="212"/>
      <c r="HL13" s="212"/>
      <c r="HM13" s="203">
        <f t="shared" si="8"/>
        <v>18.946846347674288</v>
      </c>
      <c r="HN13" s="206">
        <f t="shared" si="47"/>
        <v>506364938.66888714</v>
      </c>
      <c r="HO13" s="195">
        <f t="shared" si="48"/>
        <v>3.4346219654963761E-3</v>
      </c>
      <c r="HP13" s="212"/>
      <c r="HQ13" s="212"/>
      <c r="HR13" s="203">
        <f t="shared" si="9"/>
        <v>18.954814714247934</v>
      </c>
      <c r="HS13" s="206">
        <f t="shared" si="49"/>
        <v>506577897.66888714</v>
      </c>
      <c r="HT13" s="195">
        <f t="shared" si="50"/>
        <v>7.9683665736460796E-3</v>
      </c>
      <c r="HU13" s="212"/>
      <c r="HV13" s="212"/>
      <c r="HW13" s="212"/>
      <c r="HX13" s="212"/>
      <c r="HY13" s="203">
        <f t="shared" si="10"/>
        <v>18.958526197616848</v>
      </c>
      <c r="HZ13" s="206">
        <f t="shared" si="51"/>
        <v>506677089.11288714</v>
      </c>
      <c r="IA13" s="195">
        <f t="shared" si="52"/>
        <v>18.950557831043202</v>
      </c>
      <c r="IB13" s="212"/>
      <c r="IC13" s="212"/>
      <c r="ID13" s="212"/>
      <c r="IE13" s="212"/>
      <c r="IF13" s="208">
        <v>267.45</v>
      </c>
      <c r="IG13" s="209">
        <v>7200</v>
      </c>
      <c r="IH13" s="210">
        <v>199.2</v>
      </c>
      <c r="II13" s="211">
        <v>1434240</v>
      </c>
      <c r="IJ13" s="210">
        <f t="shared" si="11"/>
        <v>224.5882402777778</v>
      </c>
      <c r="IK13" s="211">
        <f t="shared" si="12"/>
        <v>1617035.33</v>
      </c>
      <c r="IL13" s="210">
        <f t="shared" si="13"/>
        <v>264.71476805555557</v>
      </c>
      <c r="IM13" s="211">
        <f t="shared" si="53"/>
        <v>1905946.33</v>
      </c>
      <c r="IN13" s="210">
        <f t="shared" si="14"/>
        <v>266.29347175972225</v>
      </c>
      <c r="IO13" s="211">
        <f t="shared" si="54"/>
        <v>1917312.99667</v>
      </c>
      <c r="IP13" s="210">
        <f t="shared" si="15"/>
        <v>267.45087916666665</v>
      </c>
      <c r="IQ13" s="211">
        <f t="shared" si="55"/>
        <v>1925646.33</v>
      </c>
      <c r="IR13" s="211"/>
    </row>
    <row r="14" spans="1:266" ht="51" x14ac:dyDescent="0.25">
      <c r="A14" s="192" t="s">
        <v>228</v>
      </c>
      <c r="B14" s="193" t="s">
        <v>233</v>
      </c>
      <c r="C14" s="145" t="s">
        <v>230</v>
      </c>
      <c r="D14" s="194">
        <v>31428</v>
      </c>
      <c r="E14" s="194">
        <v>3132</v>
      </c>
      <c r="F14" s="194">
        <v>3132</v>
      </c>
      <c r="G14" s="540">
        <v>31428</v>
      </c>
      <c r="H14" s="540">
        <v>31428</v>
      </c>
      <c r="I14" s="195">
        <v>341.25</v>
      </c>
      <c r="J14" s="195">
        <f t="shared" si="16"/>
        <v>10724805</v>
      </c>
      <c r="K14" s="195">
        <v>341.25</v>
      </c>
      <c r="L14" s="195">
        <f t="shared" si="17"/>
        <v>10724805</v>
      </c>
      <c r="M14" s="195">
        <v>341.25</v>
      </c>
      <c r="N14" s="195">
        <f t="shared" si="18"/>
        <v>10724805</v>
      </c>
      <c r="O14" s="212"/>
      <c r="P14" s="212"/>
      <c r="Q14" s="197">
        <v>3132</v>
      </c>
      <c r="R14" s="511">
        <v>279.42</v>
      </c>
      <c r="S14" s="513">
        <f t="shared" si="0"/>
        <v>875143.44000000006</v>
      </c>
      <c r="T14" s="212"/>
      <c r="U14" s="197">
        <v>3133</v>
      </c>
      <c r="V14" s="661">
        <f>279.42-0.020274</f>
        <v>279.39972600000004</v>
      </c>
      <c r="W14" s="513">
        <f t="shared" si="19"/>
        <v>875359.34155800019</v>
      </c>
      <c r="X14" s="212"/>
      <c r="Y14" s="197">
        <v>3134</v>
      </c>
      <c r="Z14" s="661">
        <f>279.42-0.040587</f>
        <v>279.379413</v>
      </c>
      <c r="AA14" s="513">
        <f t="shared" si="20"/>
        <v>875575.080342</v>
      </c>
      <c r="AB14" s="212"/>
      <c r="AC14" s="212"/>
      <c r="AD14" s="212"/>
      <c r="AE14" s="195">
        <f t="shared" si="21"/>
        <v>361.90257536156133</v>
      </c>
      <c r="AF14" s="205">
        <f t="shared" si="22"/>
        <v>1133478.8660324102</v>
      </c>
      <c r="AG14" s="212"/>
      <c r="AH14" s="195">
        <f>V14+AI10</f>
        <v>221.31735610819919</v>
      </c>
      <c r="AI14" s="205">
        <f t="shared" si="23"/>
        <v>693387.27668698807</v>
      </c>
      <c r="AJ14" s="212"/>
      <c r="AK14" s="195">
        <f t="shared" si="24"/>
        <v>177.0776466835855</v>
      </c>
      <c r="AL14" s="205">
        <f t="shared" si="25"/>
        <v>554961.34470635699</v>
      </c>
      <c r="AM14" s="177"/>
      <c r="AN14" s="212"/>
      <c r="AO14" s="212"/>
      <c r="AP14" s="195">
        <f t="shared" si="26"/>
        <v>361.90257536156133</v>
      </c>
      <c r="AQ14" s="205">
        <f t="shared" si="27"/>
        <v>1133478.8660324102</v>
      </c>
      <c r="AR14" s="212"/>
      <c r="AS14" s="212"/>
      <c r="AT14" s="195">
        <f t="shared" si="56"/>
        <v>363.09834117442074</v>
      </c>
      <c r="AU14" s="205">
        <f t="shared" si="28"/>
        <v>1137224.0045582857</v>
      </c>
      <c r="AV14" s="212"/>
      <c r="AW14" s="212"/>
      <c r="AX14" s="195">
        <f t="shared" si="29"/>
        <v>371.46959008538079</v>
      </c>
      <c r="AY14" s="205">
        <f t="shared" si="30"/>
        <v>1163442.7561474126</v>
      </c>
      <c r="AZ14" s="212"/>
      <c r="BA14" s="212"/>
      <c r="BB14" s="510">
        <f>3132+27864</f>
        <v>30996</v>
      </c>
      <c r="BC14" s="512">
        <f>279.42+48.07</f>
        <v>327.49</v>
      </c>
      <c r="BD14" s="199">
        <f t="shared" si="1"/>
        <v>10150880.040000001</v>
      </c>
      <c r="BE14" s="212"/>
      <c r="BF14" s="514">
        <f>3133+27865</f>
        <v>30998</v>
      </c>
      <c r="BG14" s="664">
        <f>279.42-0.020274+9.652328</f>
        <v>289.05205400000006</v>
      </c>
      <c r="BH14" s="199">
        <f t="shared" si="31"/>
        <v>8960035.5698920023</v>
      </c>
      <c r="BI14" s="212"/>
      <c r="BJ14" s="514">
        <f>3134+27866</f>
        <v>31000</v>
      </c>
      <c r="BK14" s="664">
        <f>279.42-0.040587+9.6998728</f>
        <v>289.07928579999998</v>
      </c>
      <c r="BL14" s="199">
        <f t="shared" si="32"/>
        <v>8961457.8597999997</v>
      </c>
      <c r="BM14" s="212"/>
      <c r="BN14" s="212"/>
      <c r="BO14" s="663">
        <f t="shared" si="33"/>
        <v>337.89916750649223</v>
      </c>
      <c r="BP14" s="199">
        <f t="shared" si="34"/>
        <v>10473522.596031234</v>
      </c>
      <c r="BQ14" s="212"/>
      <c r="BR14" s="212"/>
      <c r="BS14" s="212"/>
      <c r="BT14" s="663">
        <f t="shared" si="57"/>
        <v>329.77526027360119</v>
      </c>
      <c r="BU14" s="199">
        <f t="shared" si="35"/>
        <v>10221713.967440542</v>
      </c>
      <c r="BV14" s="212"/>
      <c r="BW14" s="212"/>
      <c r="BX14" s="212"/>
      <c r="BY14" s="212"/>
      <c r="BZ14" s="212"/>
      <c r="CA14" s="212"/>
      <c r="CB14" s="212"/>
      <c r="CC14" s="212"/>
      <c r="CD14" s="197">
        <v>2916</v>
      </c>
      <c r="CE14" s="511">
        <v>266.06</v>
      </c>
      <c r="CF14" s="513">
        <f t="shared" si="2"/>
        <v>775830.96</v>
      </c>
      <c r="CG14" s="177"/>
      <c r="CH14" s="177"/>
      <c r="CI14" s="14"/>
      <c r="CJ14" s="526">
        <f>(CJ13-CF17)/CD17</f>
        <v>-2.5018705575422526E-4</v>
      </c>
      <c r="CK14" s="381">
        <v>266.06</v>
      </c>
      <c r="CL14" s="383">
        <f t="shared" si="36"/>
        <v>775830.96</v>
      </c>
      <c r="CM14" s="177"/>
      <c r="CN14" s="205">
        <v>2113170.35</v>
      </c>
      <c r="CO14" s="520" t="s">
        <v>382</v>
      </c>
      <c r="CP14" s="177">
        <f>CN11+CN12+CN13+CN14</f>
        <v>17873470.350000001</v>
      </c>
      <c r="CQ14" s="177">
        <f>69.8063*64152</f>
        <v>4478213.7575999992</v>
      </c>
      <c r="CR14" s="14"/>
      <c r="CS14" s="526">
        <f>(CS13-CJ13)/CD17</f>
        <v>69.806397306397301</v>
      </c>
      <c r="CT14" s="531">
        <f>$CK$14+69.81</f>
        <v>335.87</v>
      </c>
      <c r="CU14" s="383">
        <f t="shared" si="3"/>
        <v>979396.92</v>
      </c>
      <c r="CV14" s="205">
        <v>2113170.35</v>
      </c>
      <c r="CW14" s="520" t="s">
        <v>382</v>
      </c>
      <c r="CX14" s="177">
        <f>CV11+CV12+CV13+CV14</f>
        <v>22351690.350000001</v>
      </c>
      <c r="CY14" s="177" t="s">
        <v>388</v>
      </c>
      <c r="CZ14" s="531">
        <f>$CK$14+70.74</f>
        <v>336.8</v>
      </c>
      <c r="DA14" s="383">
        <f t="shared" si="37"/>
        <v>982108.8</v>
      </c>
      <c r="DB14" s="529">
        <f>CX14+CV17</f>
        <v>22411559.420000002</v>
      </c>
      <c r="DC14" s="536" t="s">
        <v>391</v>
      </c>
      <c r="DD14" s="189"/>
      <c r="DE14" s="14"/>
      <c r="DF14" s="526">
        <f>(DF13-CS13)/CD17</f>
        <v>26.437828282828264</v>
      </c>
      <c r="DG14" s="531">
        <f>$CK$14+70.74+25.8</f>
        <v>362.6</v>
      </c>
      <c r="DH14" s="383">
        <f>DG14*$CD$14</f>
        <v>1057341.6000000001</v>
      </c>
      <c r="DI14" s="205">
        <f>2113170.35+133651.56</f>
        <v>2246821.91</v>
      </c>
      <c r="DJ14" s="520" t="s">
        <v>382</v>
      </c>
      <c r="DK14" s="177" t="s">
        <v>401</v>
      </c>
      <c r="DL14" s="553" t="s">
        <v>403</v>
      </c>
      <c r="DM14" s="554">
        <f>DI11+DI12+DI13+DI14</f>
        <v>24047729.91</v>
      </c>
      <c r="DN14" s="547" t="s">
        <v>406</v>
      </c>
      <c r="DO14" s="548">
        <f>DM14-DH18</f>
        <v>23284363.260000002</v>
      </c>
      <c r="DP14" s="546"/>
      <c r="DQ14" s="14"/>
      <c r="DR14" s="526">
        <f>(DR13-DF13)/$CD$17</f>
        <v>0.87956338072084617</v>
      </c>
      <c r="DS14" s="531">
        <f>$CK$14+70.74+25.8+0.88</f>
        <v>363.48</v>
      </c>
      <c r="DT14" s="383">
        <f>DS14*$CD$14</f>
        <v>1059907.6800000002</v>
      </c>
      <c r="DU14" s="205">
        <f>2113170.35+133651.56</f>
        <v>2246821.91</v>
      </c>
      <c r="DV14" s="520" t="s">
        <v>382</v>
      </c>
      <c r="DW14" s="553" t="s">
        <v>403</v>
      </c>
      <c r="DX14" s="560">
        <f>DU11+DU12+DU13+DU14</f>
        <v>24104171.710000001</v>
      </c>
      <c r="DY14" s="547" t="s">
        <v>406</v>
      </c>
      <c r="DZ14" s="548">
        <f>DX14-DT18</f>
        <v>23340805.060000002</v>
      </c>
      <c r="EA14" s="546"/>
      <c r="EB14" s="14"/>
      <c r="EC14" s="526">
        <f>(EC13-DF13)/$CD$17</f>
        <v>0.87956338072084617</v>
      </c>
      <c r="ED14" s="531">
        <f>$CK$14+70.74+25.8+0.88</f>
        <v>363.48</v>
      </c>
      <c r="EE14" s="383">
        <f>ED14*$CD$14</f>
        <v>1059907.6800000002</v>
      </c>
      <c r="EF14" s="205">
        <f>2113170.35+133651.56</f>
        <v>2246821.91</v>
      </c>
      <c r="EG14" s="520" t="s">
        <v>382</v>
      </c>
      <c r="EH14" s="553" t="s">
        <v>403</v>
      </c>
      <c r="EI14" s="560">
        <f>EF11+EF12+EF13+EF14</f>
        <v>24104171.710000001</v>
      </c>
      <c r="EJ14" s="547" t="s">
        <v>406</v>
      </c>
      <c r="EK14" s="548">
        <f>EI14-EE18</f>
        <v>23340805.060000002</v>
      </c>
      <c r="EL14" s="546"/>
      <c r="EM14" s="546"/>
      <c r="EN14" s="14"/>
      <c r="EO14" s="526">
        <f>(EO13-EC13)/$CD$17</f>
        <v>75.88544176331213</v>
      </c>
      <c r="EP14" s="531">
        <f>$CK$14+70.74+25.8+0.88+75.89</f>
        <v>439.37</v>
      </c>
      <c r="EQ14" s="383">
        <f>EP14*$CD$14</f>
        <v>1281202.92</v>
      </c>
      <c r="ER14" s="575">
        <f>2113170.35+133651.56</f>
        <v>2246821.91</v>
      </c>
      <c r="ES14" s="574" t="s">
        <v>382</v>
      </c>
      <c r="ET14" s="553" t="s">
        <v>403</v>
      </c>
      <c r="EU14" s="560">
        <f>ER11+ER12+ER13+ER14+0.06</f>
        <v>28972374.57</v>
      </c>
      <c r="EV14" s="547" t="s">
        <v>406</v>
      </c>
      <c r="EW14" s="548">
        <f>EU14-EO12</f>
        <v>28209007.920000002</v>
      </c>
      <c r="EX14" s="574">
        <f>EW14-EK14</f>
        <v>4868202.8599999994</v>
      </c>
      <c r="EY14" s="585">
        <f>EX14/$CD$17</f>
        <v>75.88544176331213</v>
      </c>
      <c r="EZ14" s="574" t="s">
        <v>427</v>
      </c>
      <c r="FA14" s="608" t="s">
        <v>439</v>
      </c>
      <c r="FB14" s="604">
        <f>2916-1620</f>
        <v>1296</v>
      </c>
      <c r="FC14" s="511">
        <f>363.48+263.6</f>
        <v>627.08000000000004</v>
      </c>
      <c r="FD14" s="511">
        <f t="shared" si="4"/>
        <v>812695.68</v>
      </c>
      <c r="FE14" s="332">
        <f>266.06</f>
        <v>266.06</v>
      </c>
      <c r="FF14" s="599">
        <f>266.06+113.87</f>
        <v>379.93</v>
      </c>
      <c r="FG14" s="199">
        <f t="shared" si="38"/>
        <v>492389.28</v>
      </c>
      <c r="FH14" s="177"/>
      <c r="FI14" s="177"/>
      <c r="FJ14" s="177"/>
      <c r="FK14" s="177"/>
      <c r="FL14" s="478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X14" s="553" t="s">
        <v>403</v>
      </c>
      <c r="FY14" s="560">
        <f>ER11+ER12+ER13+ER14</f>
        <v>28972374.510000002</v>
      </c>
      <c r="FZ14" s="547" t="s">
        <v>406</v>
      </c>
      <c r="GA14" s="548" t="e">
        <f>FY14-EQ18</f>
        <v>#REF!</v>
      </c>
      <c r="GB14" s="546"/>
      <c r="GC14" s="326"/>
      <c r="GD14" s="212"/>
      <c r="GE14" s="14"/>
      <c r="GF14" s="338" t="e">
        <f>(GF13-FZ17)/FX17</f>
        <v>#REF!</v>
      </c>
      <c r="GG14" s="381">
        <f t="shared" si="39"/>
        <v>28972393.448158503</v>
      </c>
      <c r="GH14" s="382" t="e">
        <f t="shared" si="40"/>
        <v>#VALUE!</v>
      </c>
      <c r="GI14" s="177"/>
      <c r="GJ14" s="14"/>
      <c r="GK14" s="338" t="e">
        <f>(GK13-GF13)/FX17</f>
        <v>#REF!</v>
      </c>
      <c r="GL14" s="381">
        <f t="shared" si="41"/>
        <v>28972395.355365403</v>
      </c>
      <c r="GM14" s="383" t="e">
        <f t="shared" si="42"/>
        <v>#VALUE!</v>
      </c>
      <c r="GN14" s="177"/>
      <c r="GO14" s="14"/>
      <c r="GP14" s="338" t="e">
        <f>(GP13-GK13)/FX17</f>
        <v>#REF!</v>
      </c>
      <c r="GQ14" s="381">
        <f t="shared" si="43"/>
        <v>28972405.028835103</v>
      </c>
      <c r="GR14" s="383" t="e">
        <f t="shared" si="44"/>
        <v>#VALUE!</v>
      </c>
      <c r="GS14" s="177"/>
      <c r="GT14" s="177"/>
      <c r="GU14" s="177"/>
      <c r="GV14" s="200">
        <v>416.0113127853881</v>
      </c>
      <c r="GW14" s="213">
        <v>1093277.73</v>
      </c>
      <c r="GX14" s="212"/>
      <c r="GY14" s="212"/>
      <c r="GZ14" s="212"/>
      <c r="HA14" s="203" t="e">
        <f t="shared" si="5"/>
        <v>#VALUE!</v>
      </c>
      <c r="HB14" s="205">
        <f t="shared" si="45"/>
        <v>1093277.73</v>
      </c>
      <c r="HC14" s="212"/>
      <c r="HD14" s="216"/>
      <c r="HE14" s="203" t="e">
        <f t="shared" si="6"/>
        <v>#VALUE!</v>
      </c>
      <c r="HF14" s="205" t="e">
        <f t="shared" ref="HF14:HF15" si="58">GH14+$HF$9</f>
        <v>#VALUE!</v>
      </c>
      <c r="HG14" s="177"/>
      <c r="HH14" s="212"/>
      <c r="HI14" s="203" t="e">
        <f t="shared" si="7"/>
        <v>#VALUE!</v>
      </c>
      <c r="HJ14" s="205" t="e">
        <f t="shared" si="46"/>
        <v>#VALUE!</v>
      </c>
      <c r="HK14" s="212"/>
      <c r="HL14" s="212"/>
      <c r="HM14" s="203" t="e">
        <f t="shared" si="8"/>
        <v>#VALUE!</v>
      </c>
      <c r="HN14" s="206" t="e">
        <f t="shared" si="47"/>
        <v>#VALUE!</v>
      </c>
      <c r="HO14" s="195" t="e">
        <f t="shared" si="48"/>
        <v>#VALUE!</v>
      </c>
      <c r="HP14" s="212"/>
      <c r="HQ14" s="212"/>
      <c r="HR14" s="203" t="e">
        <f t="shared" si="9"/>
        <v>#VALUE!</v>
      </c>
      <c r="HS14" s="206" t="e">
        <f t="shared" si="49"/>
        <v>#VALUE!</v>
      </c>
      <c r="HT14" s="195" t="e">
        <f t="shared" si="50"/>
        <v>#VALUE!</v>
      </c>
      <c r="HU14" s="212"/>
      <c r="HV14" s="212"/>
      <c r="HW14" s="212"/>
      <c r="HX14" s="212"/>
      <c r="HY14" s="203" t="e">
        <f t="shared" si="10"/>
        <v>#VALUE!</v>
      </c>
      <c r="HZ14" s="206" t="e">
        <f t="shared" si="51"/>
        <v>#VALUE!</v>
      </c>
      <c r="IA14" s="195" t="e">
        <f t="shared" si="52"/>
        <v>#VALUE!</v>
      </c>
      <c r="IB14" s="212"/>
      <c r="IC14" s="212"/>
      <c r="ID14" s="212"/>
      <c r="IE14" s="212"/>
      <c r="IF14" s="208">
        <v>238.88</v>
      </c>
      <c r="IG14" s="209">
        <v>12240</v>
      </c>
      <c r="IH14" s="210">
        <v>198.73</v>
      </c>
      <c r="II14" s="211">
        <v>2432455.2000000002</v>
      </c>
      <c r="IJ14" s="210">
        <f t="shared" si="11"/>
        <v>213.66425898692813</v>
      </c>
      <c r="IK14" s="211">
        <f t="shared" si="12"/>
        <v>2615250.5300000003</v>
      </c>
      <c r="IL14" s="210">
        <f t="shared" si="13"/>
        <v>237.26809885620918</v>
      </c>
      <c r="IM14" s="211">
        <f t="shared" si="53"/>
        <v>2904161.5300000003</v>
      </c>
      <c r="IN14" s="210">
        <f t="shared" si="14"/>
        <v>238.19674809395428</v>
      </c>
      <c r="IO14" s="211">
        <f t="shared" si="54"/>
        <v>2915528.1966700004</v>
      </c>
      <c r="IP14" s="210">
        <f t="shared" si="15"/>
        <v>238.87757598039218</v>
      </c>
      <c r="IQ14" s="211">
        <f t="shared" si="55"/>
        <v>2923861.5300000003</v>
      </c>
      <c r="IR14" s="211"/>
    </row>
    <row r="15" spans="1:266" ht="60" x14ac:dyDescent="0.25">
      <c r="A15" s="192" t="s">
        <v>228</v>
      </c>
      <c r="B15" s="193" t="s">
        <v>234</v>
      </c>
      <c r="C15" s="145" t="s">
        <v>230</v>
      </c>
      <c r="D15" s="194">
        <v>47880</v>
      </c>
      <c r="E15" s="194">
        <v>23040</v>
      </c>
      <c r="F15" s="194">
        <v>23040</v>
      </c>
      <c r="G15" s="540">
        <v>47880</v>
      </c>
      <c r="H15" s="540">
        <v>47880</v>
      </c>
      <c r="I15" s="195">
        <v>341.3</v>
      </c>
      <c r="J15" s="195">
        <f t="shared" si="16"/>
        <v>16341444</v>
      </c>
      <c r="K15" s="195">
        <v>341.3</v>
      </c>
      <c r="L15" s="195">
        <f t="shared" si="17"/>
        <v>16341444</v>
      </c>
      <c r="M15" s="195">
        <v>341.3</v>
      </c>
      <c r="N15" s="195">
        <f t="shared" si="18"/>
        <v>16341444</v>
      </c>
      <c r="O15" s="212"/>
      <c r="P15" s="212"/>
      <c r="Q15" s="197">
        <v>23040</v>
      </c>
      <c r="R15" s="511">
        <v>279.43</v>
      </c>
      <c r="S15" s="513">
        <f t="shared" si="0"/>
        <v>6438067.2000000002</v>
      </c>
      <c r="T15" s="212"/>
      <c r="U15" s="197">
        <v>23041</v>
      </c>
      <c r="V15" s="590">
        <f>279.43-0.02</f>
        <v>279.41000000000003</v>
      </c>
      <c r="W15" s="513">
        <f t="shared" si="19"/>
        <v>6437885.8100000005</v>
      </c>
      <c r="X15" s="212"/>
      <c r="Y15" s="197">
        <v>23042</v>
      </c>
      <c r="Z15" s="590">
        <f>279.43-0.04</f>
        <v>279.39</v>
      </c>
      <c r="AA15" s="513">
        <f t="shared" si="20"/>
        <v>6437704.3799999999</v>
      </c>
      <c r="AB15" s="212"/>
      <c r="AC15" s="212"/>
      <c r="AD15" s="212"/>
      <c r="AE15" s="195">
        <f t="shared" si="21"/>
        <v>361.91257536156132</v>
      </c>
      <c r="AF15" s="205">
        <f t="shared" si="22"/>
        <v>8338465.7363303732</v>
      </c>
      <c r="AG15" s="212"/>
      <c r="AH15" s="195">
        <f>V15+AI10</f>
        <v>221.32763010819917</v>
      </c>
      <c r="AI15" s="205">
        <f t="shared" si="23"/>
        <v>5099609.9253230169</v>
      </c>
      <c r="AJ15" s="212"/>
      <c r="AK15" s="195">
        <f t="shared" si="24"/>
        <v>177.08823368358549</v>
      </c>
      <c r="AL15" s="205">
        <f t="shared" si="25"/>
        <v>4080467.0805371767</v>
      </c>
      <c r="AM15" s="177"/>
      <c r="AN15" s="212"/>
      <c r="AO15" s="212"/>
      <c r="AP15" s="195">
        <f t="shared" si="26"/>
        <v>361.91257536156132</v>
      </c>
      <c r="AQ15" s="205">
        <f t="shared" si="27"/>
        <v>8338465.7363303732</v>
      </c>
      <c r="AR15" s="212"/>
      <c r="AS15" s="212"/>
      <c r="AT15" s="195">
        <f t="shared" si="56"/>
        <v>363.10834117442073</v>
      </c>
      <c r="AU15" s="205">
        <f t="shared" si="28"/>
        <v>8366016.1806586534</v>
      </c>
      <c r="AV15" s="212"/>
      <c r="AW15" s="212"/>
      <c r="AX15" s="195">
        <f t="shared" si="29"/>
        <v>371.47959008538078</v>
      </c>
      <c r="AY15" s="205">
        <f t="shared" si="30"/>
        <v>8558889.7555671725</v>
      </c>
      <c r="AZ15" s="212"/>
      <c r="BA15" s="212"/>
      <c r="BB15" s="510">
        <f>20800+25596</f>
        <v>46396</v>
      </c>
      <c r="BC15" s="512">
        <f>279.43+48.07</f>
        <v>327.5</v>
      </c>
      <c r="BD15" s="199">
        <f t="shared" si="1"/>
        <v>15194690</v>
      </c>
      <c r="BE15" s="212"/>
      <c r="BF15" s="514">
        <f>20800+25596</f>
        <v>46396</v>
      </c>
      <c r="BG15" s="663">
        <f>279.43-0.02+9.65</f>
        <v>289.06</v>
      </c>
      <c r="BH15" s="199">
        <f t="shared" si="31"/>
        <v>13411227.76</v>
      </c>
      <c r="BI15" s="212"/>
      <c r="BJ15" s="514">
        <f>20800+25596</f>
        <v>46396</v>
      </c>
      <c r="BK15" s="663">
        <f>279.43-0.04+9.65</f>
        <v>289.03999999999996</v>
      </c>
      <c r="BL15" s="199">
        <f t="shared" si="32"/>
        <v>13410299.839999998</v>
      </c>
      <c r="BM15" s="212"/>
      <c r="BN15" s="212"/>
      <c r="BO15" s="663">
        <f t="shared" si="33"/>
        <v>337.90916750649222</v>
      </c>
      <c r="BP15" s="199">
        <f t="shared" si="34"/>
        <v>15677633.735631213</v>
      </c>
      <c r="BQ15" s="212"/>
      <c r="BR15" s="212"/>
      <c r="BS15" s="212"/>
      <c r="BT15" s="663">
        <f t="shared" si="57"/>
        <v>329.78526027360118</v>
      </c>
      <c r="BU15" s="199">
        <f t="shared" si="35"/>
        <v>15300716.935654001</v>
      </c>
      <c r="BV15" s="212"/>
      <c r="BW15" s="212"/>
      <c r="BX15" s="212"/>
      <c r="BY15" s="212"/>
      <c r="BZ15" s="212"/>
      <c r="CA15" s="212"/>
      <c r="CB15" s="212"/>
      <c r="CC15" s="212"/>
      <c r="CD15" s="197">
        <v>20196</v>
      </c>
      <c r="CE15" s="511">
        <v>266.95</v>
      </c>
      <c r="CF15" s="513">
        <f t="shared" si="2"/>
        <v>5391322.2000000002</v>
      </c>
      <c r="CG15" s="177"/>
      <c r="CH15" s="177"/>
      <c r="CI15" s="333" t="s">
        <v>379</v>
      </c>
      <c r="CJ15" s="334">
        <f>CN15+CN16</f>
        <v>27957415.149999999</v>
      </c>
      <c r="CK15" s="381">
        <v>266.95</v>
      </c>
      <c r="CL15" s="383">
        <f t="shared" si="36"/>
        <v>5391322.2000000002</v>
      </c>
      <c r="CM15" s="177"/>
      <c r="CN15" s="199">
        <v>24652200</v>
      </c>
      <c r="CO15" s="521" t="s">
        <v>381</v>
      </c>
      <c r="CP15" s="177"/>
      <c r="CQ15" s="177"/>
      <c r="CR15" s="333" t="s">
        <v>286</v>
      </c>
      <c r="CS15" s="334">
        <f>CV15+CV16+CV17</f>
        <v>28017284.219999999</v>
      </c>
      <c r="CT15" s="531">
        <f>$CK$15+69.81</f>
        <v>336.76</v>
      </c>
      <c r="CU15" s="383">
        <f t="shared" si="3"/>
        <v>6801204.96</v>
      </c>
      <c r="CV15" s="199">
        <v>24652200</v>
      </c>
      <c r="CW15" s="199" t="s">
        <v>381</v>
      </c>
      <c r="CX15" s="177"/>
      <c r="CY15" s="177"/>
      <c r="CZ15" s="531">
        <f>$CK$15+70.74</f>
        <v>337.69</v>
      </c>
      <c r="DA15" s="383">
        <f t="shared" si="37"/>
        <v>6819987.2400000002</v>
      </c>
      <c r="DB15" s="535">
        <f>DB14-CS12</f>
        <v>21648208.82</v>
      </c>
      <c r="DC15" s="534" t="s">
        <v>392</v>
      </c>
      <c r="DD15" s="189"/>
      <c r="DE15" s="333" t="s">
        <v>286</v>
      </c>
      <c r="DF15" s="334">
        <f>DI15+DI16+DI17</f>
        <v>28392284.219999999</v>
      </c>
      <c r="DG15" s="531">
        <f>$CK$15+70.74+25.8</f>
        <v>363.49</v>
      </c>
      <c r="DH15" s="383">
        <f>DG15*$CD$15</f>
        <v>7341044.04</v>
      </c>
      <c r="DI15" s="199">
        <v>24652200</v>
      </c>
      <c r="DJ15" s="199" t="s">
        <v>381</v>
      </c>
      <c r="DL15" s="551" t="s">
        <v>404</v>
      </c>
      <c r="DM15" s="552">
        <f>DI15+DI16+DI17</f>
        <v>28392284.219999999</v>
      </c>
      <c r="DN15" s="189"/>
      <c r="DO15" s="528"/>
      <c r="DP15" s="528"/>
      <c r="DQ15" s="333" t="s">
        <v>286</v>
      </c>
      <c r="DR15" s="334">
        <f>DU15+DU16+DU17</f>
        <v>28392284.219999999</v>
      </c>
      <c r="DS15" s="531">
        <f>$CK$15+70.74+25.8+0.88</f>
        <v>364.37</v>
      </c>
      <c r="DT15" s="383">
        <f>DS15*$CD$15</f>
        <v>7358816.5200000005</v>
      </c>
      <c r="DU15" s="199">
        <v>24652200</v>
      </c>
      <c r="DV15" s="199" t="s">
        <v>381</v>
      </c>
      <c r="DW15" s="551" t="s">
        <v>404</v>
      </c>
      <c r="DX15" s="562">
        <f>DU15+DU16+DU17</f>
        <v>28392284.219999999</v>
      </c>
      <c r="DY15" s="189"/>
      <c r="DZ15" s="189"/>
      <c r="EA15" s="189"/>
      <c r="EB15" s="333" t="s">
        <v>420</v>
      </c>
      <c r="EC15" s="334">
        <f>EF15+EF16+EF17</f>
        <v>28826552.359999999</v>
      </c>
      <c r="ED15" s="531">
        <f>$CK$15+70.74+25.8+0.88</f>
        <v>364.37</v>
      </c>
      <c r="EE15" s="383">
        <f>ED15*$CD$15</f>
        <v>7358816.5200000005</v>
      </c>
      <c r="EF15" s="199">
        <f>24652200+434268.14</f>
        <v>25086468.140000001</v>
      </c>
      <c r="EG15" s="199" t="s">
        <v>381</v>
      </c>
      <c r="EH15" s="551" t="s">
        <v>404</v>
      </c>
      <c r="EI15" s="562">
        <f>EF15+EF16+EF17</f>
        <v>28826552.359999999</v>
      </c>
      <c r="EJ15" s="199">
        <f>EI15-DX15</f>
        <v>434268.1400000006</v>
      </c>
      <c r="EK15" s="567" t="e">
        <f>EJ15/#REF!</f>
        <v>#REF!</v>
      </c>
      <c r="EL15" s="521" t="s">
        <v>419</v>
      </c>
      <c r="EM15" s="189"/>
      <c r="EN15" s="570" t="s">
        <v>420</v>
      </c>
      <c r="EO15" s="571" t="e">
        <f>ER15+ER16+ER17+#REF!</f>
        <v>#REF!</v>
      </c>
      <c r="EP15" s="531">
        <f>$CK$15+70.74+25.8+0.88+75.88</f>
        <v>440.25</v>
      </c>
      <c r="EQ15" s="383">
        <f>EP15*$CD$15</f>
        <v>8891289</v>
      </c>
      <c r="ER15" s="572">
        <f>24652200+434268.14-1572179</f>
        <v>23514289.140000001</v>
      </c>
      <c r="ES15" s="572" t="s">
        <v>381</v>
      </c>
      <c r="ET15" s="578" t="s">
        <v>404</v>
      </c>
      <c r="EU15" s="579" t="e">
        <f>ER15+ER16+ER17+#REF!</f>
        <v>#REF!</v>
      </c>
      <c r="EV15" s="572" t="e">
        <f>EU15-EI15</f>
        <v>#REF!</v>
      </c>
      <c r="EW15" s="582" t="e">
        <f>EV15/#REF!</f>
        <v>#REF!</v>
      </c>
      <c r="EX15" s="584" t="s">
        <v>426</v>
      </c>
      <c r="EY15" s="177"/>
      <c r="EZ15" s="177" t="s">
        <v>428</v>
      </c>
      <c r="FA15" s="607" t="s">
        <v>440</v>
      </c>
      <c r="FB15" s="604">
        <f>20196-1836</f>
        <v>18360</v>
      </c>
      <c r="FC15" s="589">
        <f>364.37+263.606161</f>
        <v>627.97616100000005</v>
      </c>
      <c r="FD15" s="511">
        <f t="shared" si="4"/>
        <v>11529642.315960001</v>
      </c>
      <c r="FE15" s="332">
        <f>266.95</f>
        <v>266.95</v>
      </c>
      <c r="FF15" s="599">
        <f>266.95+113.87</f>
        <v>380.82</v>
      </c>
      <c r="FG15" s="199">
        <f t="shared" si="38"/>
        <v>6991855.2000000002</v>
      </c>
      <c r="FH15" s="177"/>
      <c r="FI15" s="478"/>
      <c r="FJ15" s="177"/>
      <c r="FK15" s="177"/>
      <c r="FL15" s="4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X15" s="551" t="s">
        <v>404</v>
      </c>
      <c r="FY15" s="562">
        <f>ER15+ER16+ER17</f>
        <v>27254373.359999999</v>
      </c>
      <c r="FZ15" s="199">
        <f>FY15-EJ15</f>
        <v>26820105.219999999</v>
      </c>
      <c r="GA15" s="567" t="e">
        <f>FZ15/#REF!</f>
        <v>#REF!</v>
      </c>
      <c r="GB15" s="521" t="s">
        <v>419</v>
      </c>
      <c r="GC15" s="326"/>
      <c r="GD15" s="212"/>
      <c r="GE15" s="333" t="s">
        <v>286</v>
      </c>
      <c r="GF15" s="334">
        <v>10745500</v>
      </c>
      <c r="GG15" s="381">
        <f t="shared" si="39"/>
        <v>27254392.2981585</v>
      </c>
      <c r="GH15" s="382" t="e">
        <f t="shared" si="40"/>
        <v>#VALUE!</v>
      </c>
      <c r="GI15" s="177"/>
      <c r="GJ15" s="333" t="s">
        <v>286</v>
      </c>
      <c r="GK15" s="334">
        <v>10745500</v>
      </c>
      <c r="GL15" s="381">
        <f t="shared" si="41"/>
        <v>27254394.205365401</v>
      </c>
      <c r="GM15" s="383" t="e">
        <f t="shared" si="42"/>
        <v>#VALUE!</v>
      </c>
      <c r="GN15" s="177"/>
      <c r="GO15" s="333" t="s">
        <v>286</v>
      </c>
      <c r="GP15" s="334">
        <v>10745500</v>
      </c>
      <c r="GQ15" s="381">
        <f t="shared" si="43"/>
        <v>27254403.878835101</v>
      </c>
      <c r="GR15" s="383" t="e">
        <f t="shared" si="44"/>
        <v>#VALUE!</v>
      </c>
      <c r="GS15" s="177"/>
      <c r="GT15" s="177"/>
      <c r="GU15" s="177"/>
      <c r="GV15" s="200">
        <v>505.41846575750634</v>
      </c>
      <c r="GW15" s="213">
        <v>9534213.9380495995</v>
      </c>
      <c r="GX15" s="212"/>
      <c r="GY15" s="212"/>
      <c r="GZ15" s="212"/>
      <c r="HA15" s="203" t="e">
        <f t="shared" si="5"/>
        <v>#VALUE!</v>
      </c>
      <c r="HB15" s="205">
        <f t="shared" si="45"/>
        <v>9534213.9380495995</v>
      </c>
      <c r="HC15" s="212"/>
      <c r="HD15" s="216"/>
      <c r="HE15" s="203" t="e">
        <f t="shared" si="6"/>
        <v>#VALUE!</v>
      </c>
      <c r="HF15" s="205" t="e">
        <f t="shared" si="58"/>
        <v>#VALUE!</v>
      </c>
      <c r="HG15" s="177"/>
      <c r="HH15" s="212"/>
      <c r="HI15" s="203" t="e">
        <f t="shared" si="7"/>
        <v>#VALUE!</v>
      </c>
      <c r="HJ15" s="205" t="e">
        <f t="shared" si="46"/>
        <v>#VALUE!</v>
      </c>
      <c r="HK15" s="212"/>
      <c r="HL15" s="212"/>
      <c r="HM15" s="203" t="e">
        <f t="shared" si="8"/>
        <v>#VALUE!</v>
      </c>
      <c r="HN15" s="206" t="e">
        <f t="shared" si="47"/>
        <v>#VALUE!</v>
      </c>
      <c r="HO15" s="195" t="e">
        <f t="shared" si="48"/>
        <v>#VALUE!</v>
      </c>
      <c r="HP15" s="212"/>
      <c r="HQ15" s="212"/>
      <c r="HR15" s="203" t="e">
        <f t="shared" si="9"/>
        <v>#VALUE!</v>
      </c>
      <c r="HS15" s="206" t="e">
        <f t="shared" si="49"/>
        <v>#VALUE!</v>
      </c>
      <c r="HT15" s="195" t="e">
        <f t="shared" si="50"/>
        <v>#VALUE!</v>
      </c>
      <c r="HU15" s="212"/>
      <c r="HV15" s="212"/>
      <c r="HW15" s="212"/>
      <c r="HX15" s="212"/>
      <c r="HY15" s="203" t="e">
        <f t="shared" si="10"/>
        <v>#VALUE!</v>
      </c>
      <c r="HZ15" s="206" t="e">
        <f t="shared" si="51"/>
        <v>#VALUE!</v>
      </c>
      <c r="IA15" s="195" t="e">
        <f t="shared" si="52"/>
        <v>#VALUE!</v>
      </c>
      <c r="IB15" s="212"/>
      <c r="IC15" s="212"/>
      <c r="ID15" s="212"/>
      <c r="IE15" s="212"/>
      <c r="IF15" s="208">
        <v>212.43</v>
      </c>
      <c r="IG15" s="209">
        <v>38916</v>
      </c>
      <c r="IH15" s="210">
        <v>199.8</v>
      </c>
      <c r="II15" s="211">
        <v>7775416.7999999998</v>
      </c>
      <c r="IJ15" s="210">
        <f t="shared" si="11"/>
        <v>204.49717673964435</v>
      </c>
      <c r="IK15" s="211">
        <f t="shared" si="12"/>
        <v>7958212.1299999999</v>
      </c>
      <c r="IL15" s="210">
        <f t="shared" si="13"/>
        <v>211.92114117586596</v>
      </c>
      <c r="IM15" s="211">
        <f t="shared" si="53"/>
        <v>8247123.1299999999</v>
      </c>
      <c r="IN15" s="210">
        <f t="shared" si="14"/>
        <v>212.21322326729367</v>
      </c>
      <c r="IO15" s="211">
        <f t="shared" si="54"/>
        <v>8258489.7966700001</v>
      </c>
      <c r="IP15" s="210">
        <f t="shared" si="15"/>
        <v>212.42735969781066</v>
      </c>
      <c r="IQ15" s="211">
        <f t="shared" si="55"/>
        <v>8266823.1299999999</v>
      </c>
      <c r="IR15" s="211"/>
      <c r="IV15" s="181" t="s">
        <v>235</v>
      </c>
      <c r="IY15" s="181" t="s">
        <v>235</v>
      </c>
    </row>
    <row r="16" spans="1:266" ht="72" x14ac:dyDescent="0.25">
      <c r="A16" s="193" t="s">
        <v>228</v>
      </c>
      <c r="B16" s="193" t="s">
        <v>236</v>
      </c>
      <c r="C16" s="145" t="s">
        <v>230</v>
      </c>
      <c r="D16" s="194">
        <v>20844</v>
      </c>
      <c r="E16" s="194">
        <v>10980</v>
      </c>
      <c r="F16" s="194">
        <v>10980</v>
      </c>
      <c r="G16" s="540">
        <v>20844</v>
      </c>
      <c r="H16" s="540">
        <v>20844</v>
      </c>
      <c r="I16" s="195">
        <v>341.2</v>
      </c>
      <c r="J16" s="195">
        <f t="shared" si="16"/>
        <v>7111972.7999999998</v>
      </c>
      <c r="K16" s="195">
        <v>341.2</v>
      </c>
      <c r="L16" s="195">
        <f t="shared" si="17"/>
        <v>7111972.7999999998</v>
      </c>
      <c r="M16" s="195">
        <v>341.2</v>
      </c>
      <c r="N16" s="195">
        <f t="shared" si="18"/>
        <v>7111972.7999999998</v>
      </c>
      <c r="O16" s="212"/>
      <c r="P16" s="212"/>
      <c r="Q16" s="197">
        <v>10980</v>
      </c>
      <c r="R16" s="511">
        <v>279.39999999999998</v>
      </c>
      <c r="S16" s="513">
        <f t="shared" si="0"/>
        <v>3067811.9999999995</v>
      </c>
      <c r="T16" s="212"/>
      <c r="U16" s="197">
        <v>10981</v>
      </c>
      <c r="V16" s="590">
        <f>279.4-0.02</f>
        <v>279.38</v>
      </c>
      <c r="W16" s="513">
        <f t="shared" si="19"/>
        <v>3067871.78</v>
      </c>
      <c r="X16" s="212"/>
      <c r="Y16" s="666">
        <v>10982</v>
      </c>
      <c r="Z16" s="667">
        <f>279.4-0.05</f>
        <v>279.34999999999997</v>
      </c>
      <c r="AA16" s="513">
        <f t="shared" si="20"/>
        <v>3067821.6999999997</v>
      </c>
      <c r="AB16" s="212"/>
      <c r="AC16" s="212"/>
      <c r="AD16" s="212"/>
      <c r="AE16" s="195">
        <f t="shared" si="21"/>
        <v>361.88257536156129</v>
      </c>
      <c r="AF16" s="205">
        <f t="shared" si="22"/>
        <v>3973470.6774699432</v>
      </c>
      <c r="AG16" s="212"/>
      <c r="AH16" s="195">
        <f>V16+AI10</f>
        <v>221.29763010819914</v>
      </c>
      <c r="AI16" s="205">
        <f t="shared" si="23"/>
        <v>2430069.2762181349</v>
      </c>
      <c r="AJ16" s="212"/>
      <c r="AK16" s="195">
        <f t="shared" si="24"/>
        <v>177.04823368358547</v>
      </c>
      <c r="AL16" s="205">
        <f t="shared" si="25"/>
        <v>1944343.7023131356</v>
      </c>
      <c r="AM16" s="177"/>
      <c r="AN16" s="212"/>
      <c r="AO16" s="212"/>
      <c r="AP16" s="195">
        <f t="shared" si="26"/>
        <v>361.88257536156129</v>
      </c>
      <c r="AQ16" s="205">
        <f t="shared" si="27"/>
        <v>3973470.6774699432</v>
      </c>
      <c r="AR16" s="212"/>
      <c r="AS16" s="212"/>
      <c r="AT16" s="195">
        <f t="shared" si="56"/>
        <v>363.0783411744207</v>
      </c>
      <c r="AU16" s="205">
        <f t="shared" si="28"/>
        <v>3986600.1860951395</v>
      </c>
      <c r="AV16" s="212"/>
      <c r="AW16" s="212"/>
      <c r="AX16" s="195">
        <f t="shared" si="29"/>
        <v>371.44959008538075</v>
      </c>
      <c r="AY16" s="205">
        <f t="shared" si="30"/>
        <v>4078516.4991374807</v>
      </c>
      <c r="AZ16" s="212"/>
      <c r="BA16" s="212"/>
      <c r="BB16" s="510">
        <f>10116+11232</f>
        <v>21348</v>
      </c>
      <c r="BC16" s="512">
        <f>279.4+48.07+0.077442</f>
        <v>327.54744199999999</v>
      </c>
      <c r="BD16" s="199">
        <f t="shared" si="1"/>
        <v>6992482.7918159999</v>
      </c>
      <c r="BE16" s="212"/>
      <c r="BF16" s="731">
        <f>10981+10403</f>
        <v>21384</v>
      </c>
      <c r="BG16" s="663">
        <f>279.4-0.02+9.65</f>
        <v>289.02999999999997</v>
      </c>
      <c r="BH16" s="199">
        <f t="shared" si="31"/>
        <v>6180617.5199999996</v>
      </c>
      <c r="BI16" s="212"/>
      <c r="BJ16" s="732">
        <f>10982+10402</f>
        <v>21384</v>
      </c>
      <c r="BK16" s="733">
        <f>279.4-0.05+9.65</f>
        <v>288.99999999999994</v>
      </c>
      <c r="BL16" s="199">
        <f t="shared" si="32"/>
        <v>6179975.9999999991</v>
      </c>
      <c r="BM16" s="212"/>
      <c r="BN16" s="212"/>
      <c r="BO16" s="663">
        <f t="shared" si="33"/>
        <v>337.95660950649221</v>
      </c>
      <c r="BP16" s="199">
        <f t="shared" si="34"/>
        <v>7214697.6997445961</v>
      </c>
      <c r="BQ16" s="212"/>
      <c r="BR16" s="212"/>
      <c r="BS16" s="212"/>
      <c r="BT16" s="663">
        <f t="shared" si="57"/>
        <v>329.83270227360117</v>
      </c>
      <c r="BU16" s="199">
        <f t="shared" si="35"/>
        <v>7041268.5281368382</v>
      </c>
      <c r="BV16" s="212"/>
      <c r="BW16" s="212"/>
      <c r="BX16" s="212"/>
      <c r="BY16" s="212"/>
      <c r="BZ16" s="212"/>
      <c r="CA16" s="212"/>
      <c r="CB16" s="212"/>
      <c r="CC16" s="212"/>
      <c r="CD16" s="197">
        <v>11772</v>
      </c>
      <c r="CE16" s="511">
        <v>266.25</v>
      </c>
      <c r="CF16" s="513">
        <f t="shared" si="2"/>
        <v>3134295</v>
      </c>
      <c r="CG16" s="177"/>
      <c r="CH16" s="177"/>
      <c r="CI16" s="330" t="s">
        <v>250</v>
      </c>
      <c r="CJ16" s="331">
        <f>CJ11+CJ15</f>
        <v>45830885.5</v>
      </c>
      <c r="CK16" s="381">
        <v>266.25</v>
      </c>
      <c r="CL16" s="383">
        <f t="shared" si="36"/>
        <v>3134295</v>
      </c>
      <c r="CM16" s="177"/>
      <c r="CN16" s="199">
        <v>3305215.15</v>
      </c>
      <c r="CO16" s="521" t="s">
        <v>383</v>
      </c>
      <c r="CP16" s="177"/>
      <c r="CQ16" s="177"/>
      <c r="CR16" s="330" t="s">
        <v>250</v>
      </c>
      <c r="CS16" s="331">
        <f>CS11+CS15</f>
        <v>50368974.57</v>
      </c>
      <c r="CT16" s="531">
        <f>$CK$16+69.81</f>
        <v>336.06</v>
      </c>
      <c r="CU16" s="383">
        <f t="shared" si="3"/>
        <v>3956098.32</v>
      </c>
      <c r="CV16" s="199">
        <v>3305215.15</v>
      </c>
      <c r="CW16" s="521" t="s">
        <v>383</v>
      </c>
      <c r="CX16" s="177"/>
      <c r="CY16" s="177"/>
      <c r="CZ16" s="531">
        <f>$CK$16+70.74</f>
        <v>336.99</v>
      </c>
      <c r="DA16" s="383">
        <f t="shared" si="37"/>
        <v>3967046.2800000003</v>
      </c>
      <c r="DB16" s="177"/>
      <c r="DC16" s="212"/>
      <c r="DD16" s="212"/>
      <c r="DE16" s="330" t="s">
        <v>250</v>
      </c>
      <c r="DF16" s="331">
        <f>DF11+DF15</f>
        <v>52440014.129999995</v>
      </c>
      <c r="DG16" s="531">
        <f>$CK$16+70.74+25.8</f>
        <v>362.79</v>
      </c>
      <c r="DH16" s="383">
        <f>DG16*$CD$16</f>
        <v>4270763.88</v>
      </c>
      <c r="DI16" s="199">
        <f>3305215.15+375000</f>
        <v>3680215.15</v>
      </c>
      <c r="DJ16" s="521" t="s">
        <v>383</v>
      </c>
      <c r="DK16" s="529" t="s">
        <v>402</v>
      </c>
      <c r="DL16" s="555" t="s">
        <v>405</v>
      </c>
      <c r="DM16" s="556">
        <f>DM15+DM14</f>
        <v>52440014.129999995</v>
      </c>
      <c r="DN16" s="189"/>
      <c r="DO16" s="550"/>
      <c r="DP16" s="550"/>
      <c r="DQ16" s="330" t="s">
        <v>250</v>
      </c>
      <c r="DR16" s="331">
        <f>DR11+DR15</f>
        <v>52496455.93</v>
      </c>
      <c r="DS16" s="531">
        <f>$CK$16+70.74+25.8+0.88</f>
        <v>363.67</v>
      </c>
      <c r="DT16" s="383">
        <f>DS16*$CD$16</f>
        <v>4281123.24</v>
      </c>
      <c r="DU16" s="199">
        <f>3305215.15+375000</f>
        <v>3680215.15</v>
      </c>
      <c r="DV16" s="521" t="s">
        <v>383</v>
      </c>
      <c r="DW16" s="555" t="s">
        <v>405</v>
      </c>
      <c r="DX16" s="561">
        <f>DX15+DX14</f>
        <v>52496455.93</v>
      </c>
      <c r="DY16" s="189"/>
      <c r="DZ16" s="563" t="s">
        <v>411</v>
      </c>
      <c r="EA16" s="563"/>
      <c r="EB16" s="330" t="s">
        <v>250</v>
      </c>
      <c r="EC16" s="331">
        <f>EC11+EC15</f>
        <v>52930724.07</v>
      </c>
      <c r="ED16" s="531">
        <f>$CK$16+70.74+25.8+0.88</f>
        <v>363.67</v>
      </c>
      <c r="EE16" s="383">
        <f>ED16*$CD$16</f>
        <v>4281123.24</v>
      </c>
      <c r="EF16" s="199">
        <f>3305215.15+375000</f>
        <v>3680215.15</v>
      </c>
      <c r="EG16" s="521" t="s">
        <v>383</v>
      </c>
      <c r="EH16" s="555" t="s">
        <v>405</v>
      </c>
      <c r="EI16" s="561">
        <f>EI15+EI14</f>
        <v>52930724.07</v>
      </c>
      <c r="EJ16" s="189"/>
      <c r="EK16" s="563" t="s">
        <v>411</v>
      </c>
      <c r="EL16" s="563"/>
      <c r="EM16" s="563"/>
      <c r="EN16" s="576" t="s">
        <v>250</v>
      </c>
      <c r="EO16" s="577" t="e">
        <f>EO11+EO15</f>
        <v>#REF!</v>
      </c>
      <c r="EP16" s="531">
        <f>$CK$16+70.74+25.8+0.88+75.88</f>
        <v>439.55</v>
      </c>
      <c r="EQ16" s="383">
        <f>EP16*$CD$16</f>
        <v>5174382.6000000006</v>
      </c>
      <c r="ER16" s="572">
        <f>3305215.15+375000</f>
        <v>3680215.15</v>
      </c>
      <c r="ES16" s="573" t="s">
        <v>383</v>
      </c>
      <c r="ET16" s="580" t="s">
        <v>405</v>
      </c>
      <c r="EU16" s="581" t="e">
        <f>EU15+EU14</f>
        <v>#REF!</v>
      </c>
      <c r="EV16" s="189"/>
      <c r="EW16" s="189"/>
      <c r="EX16" s="189"/>
      <c r="EY16" s="189"/>
      <c r="EZ16" s="189"/>
      <c r="FA16" s="607" t="s">
        <v>441</v>
      </c>
      <c r="FB16" s="604">
        <f>11772-1944</f>
        <v>9828</v>
      </c>
      <c r="FC16" s="511">
        <f>363.67+263.61</f>
        <v>627.28</v>
      </c>
      <c r="FD16" s="511">
        <f t="shared" si="4"/>
        <v>6164907.8399999999</v>
      </c>
      <c r="FE16" s="332">
        <f>266.25</f>
        <v>266.25</v>
      </c>
      <c r="FF16" s="599">
        <f>266.25+113.86</f>
        <v>380.11</v>
      </c>
      <c r="FG16" s="199">
        <f t="shared" si="38"/>
        <v>3735721.08</v>
      </c>
      <c r="FH16" s="216"/>
      <c r="FI16" s="177"/>
      <c r="FJ16" s="177"/>
      <c r="FK16" s="177"/>
      <c r="FL16" s="652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X16" s="555" t="s">
        <v>405</v>
      </c>
      <c r="FY16" s="561">
        <f>FY15+FY14</f>
        <v>56226747.870000005</v>
      </c>
      <c r="FZ16" s="189"/>
      <c r="GA16" s="563" t="s">
        <v>411</v>
      </c>
      <c r="GB16" s="563"/>
      <c r="GC16" s="326"/>
      <c r="GD16" s="212"/>
      <c r="GE16" s="330" t="s">
        <v>119</v>
      </c>
      <c r="GF16" s="331">
        <f>GF11+GF15</f>
        <v>43571169</v>
      </c>
      <c r="GG16" s="381">
        <f t="shared" si="39"/>
        <v>56226766.808158502</v>
      </c>
      <c r="GH16" s="382" t="e">
        <f t="shared" si="40"/>
        <v>#VALUE!</v>
      </c>
      <c r="GI16" s="177"/>
      <c r="GJ16" s="330" t="s">
        <v>119</v>
      </c>
      <c r="GK16" s="331">
        <f>GK11+GK15</f>
        <v>43689194.590000004</v>
      </c>
      <c r="GL16" s="381">
        <f t="shared" si="41"/>
        <v>56226768.715365402</v>
      </c>
      <c r="GM16" s="383" t="e">
        <f t="shared" si="42"/>
        <v>#VALUE!</v>
      </c>
      <c r="GN16" s="177"/>
      <c r="GO16" s="330" t="s">
        <v>119</v>
      </c>
      <c r="GP16" s="331">
        <f>GP11+GP15</f>
        <v>44287827.590000004</v>
      </c>
      <c r="GQ16" s="381">
        <f t="shared" si="43"/>
        <v>56226778.388835102</v>
      </c>
      <c r="GR16" s="383" t="e">
        <f t="shared" si="44"/>
        <v>#VALUE!</v>
      </c>
      <c r="GS16" s="177"/>
      <c r="GT16" s="177"/>
      <c r="GU16" s="177"/>
      <c r="GV16" s="200"/>
      <c r="GW16" s="213"/>
      <c r="GX16" s="212"/>
      <c r="GY16" s="212"/>
      <c r="GZ16" s="212"/>
      <c r="HA16" s="203"/>
      <c r="HB16" s="205"/>
      <c r="HC16" s="212"/>
      <c r="HD16" s="216"/>
      <c r="HE16" s="203"/>
      <c r="HF16" s="205"/>
      <c r="HG16" s="177"/>
      <c r="HH16" s="212"/>
      <c r="HI16" s="203"/>
      <c r="HJ16" s="205"/>
      <c r="HK16" s="212"/>
      <c r="HL16" s="212"/>
      <c r="HM16" s="203"/>
      <c r="HN16" s="206"/>
      <c r="HO16" s="195"/>
      <c r="HP16" s="212"/>
      <c r="HQ16" s="212"/>
      <c r="HR16" s="203"/>
      <c r="HS16" s="206"/>
      <c r="HT16" s="195"/>
      <c r="HU16" s="931"/>
      <c r="HV16" s="923"/>
      <c r="HW16" s="212"/>
      <c r="HX16" s="212"/>
      <c r="HY16" s="203"/>
      <c r="HZ16" s="206"/>
      <c r="IA16" s="195"/>
      <c r="IB16" s="931"/>
      <c r="IC16" s="923"/>
      <c r="ID16" s="212"/>
      <c r="IE16" s="212"/>
      <c r="IF16" s="217">
        <v>219.87</v>
      </c>
      <c r="IG16" s="209">
        <v>18540</v>
      </c>
      <c r="IH16" s="210">
        <v>193.36</v>
      </c>
      <c r="II16" s="211">
        <v>3584894.4</v>
      </c>
      <c r="IJ16" s="210">
        <f t="shared" si="11"/>
        <v>203.21951078748651</v>
      </c>
      <c r="IK16" s="211">
        <f t="shared" si="12"/>
        <v>3767689.73</v>
      </c>
      <c r="IL16" s="210">
        <f t="shared" si="13"/>
        <v>218.80262837108953</v>
      </c>
      <c r="IM16" s="211">
        <f t="shared" si="53"/>
        <v>4056600.73</v>
      </c>
      <c r="IN16" s="210">
        <f t="shared" si="14"/>
        <v>219.41571718824164</v>
      </c>
      <c r="IO16" s="211">
        <f t="shared" si="54"/>
        <v>4067967.3966700002</v>
      </c>
      <c r="IP16" s="210">
        <f t="shared" si="15"/>
        <v>219.86519579288026</v>
      </c>
      <c r="IQ16" s="211">
        <f t="shared" si="55"/>
        <v>4076300.73</v>
      </c>
      <c r="IR16" s="493" t="s">
        <v>352</v>
      </c>
      <c r="IT16" s="218"/>
      <c r="IU16" s="219"/>
      <c r="IV16" s="220"/>
      <c r="IW16" s="221"/>
      <c r="IX16" s="222"/>
      <c r="IY16" s="222"/>
      <c r="IZ16" s="223"/>
      <c r="JA16" s="286" t="s">
        <v>353</v>
      </c>
      <c r="JB16" s="492" t="s">
        <v>354</v>
      </c>
      <c r="JC16" s="495" t="s">
        <v>355</v>
      </c>
      <c r="JD16" s="286" t="s">
        <v>357</v>
      </c>
      <c r="JE16" s="286"/>
      <c r="JF16" s="286" t="s">
        <v>356</v>
      </c>
    </row>
    <row r="17" spans="1:266" ht="27" customHeight="1" x14ac:dyDescent="0.25">
      <c r="A17" s="224" t="s">
        <v>237</v>
      </c>
      <c r="B17" s="225" t="s">
        <v>238</v>
      </c>
      <c r="C17" s="145"/>
      <c r="D17" s="226">
        <f>SUM(D11:D16)</f>
        <v>165744</v>
      </c>
      <c r="E17" s="226">
        <f>SUM(E11:E16)</f>
        <v>68868</v>
      </c>
      <c r="F17" s="226">
        <f>SUM(F11:F16)</f>
        <v>68868</v>
      </c>
      <c r="G17" s="226">
        <f>SUM(G11:G16)</f>
        <v>165744</v>
      </c>
      <c r="H17" s="226">
        <f>SUM(H11:H16)</f>
        <v>165744</v>
      </c>
      <c r="I17" s="227">
        <f>J17/D17</f>
        <v>341.24010522251183</v>
      </c>
      <c r="J17" s="227">
        <f>SUM(J11:J16)</f>
        <v>56558500</v>
      </c>
      <c r="K17" s="227">
        <f>L17/G17</f>
        <v>341.24010522251183</v>
      </c>
      <c r="L17" s="227">
        <f>SUM(L11:L16)</f>
        <v>56558500</v>
      </c>
      <c r="M17" s="227">
        <f>N17/H17</f>
        <v>341.24010522251183</v>
      </c>
      <c r="N17" s="227">
        <f>SUM(N11:N16)</f>
        <v>56558500</v>
      </c>
      <c r="O17" s="228"/>
      <c r="P17" s="228"/>
      <c r="Q17" s="680">
        <f>SUM(Q11:Q16)</f>
        <v>68868</v>
      </c>
      <c r="R17" s="596">
        <f>S17/Q17</f>
        <v>279.41102456874017</v>
      </c>
      <c r="S17" s="596">
        <f>SUM(S11:S16)</f>
        <v>19242478.439999998</v>
      </c>
      <c r="T17" s="228"/>
      <c r="U17" s="662">
        <f>SUM(U11:U16)</f>
        <v>68873</v>
      </c>
      <c r="V17" s="198">
        <f>W17/U17</f>
        <v>279.39074008040888</v>
      </c>
      <c r="W17" s="596">
        <f>SUM(W11:W16)</f>
        <v>19242478.441558</v>
      </c>
      <c r="X17" s="228"/>
      <c r="Y17" s="662">
        <f>SUM(Y11:Y16)</f>
        <v>68878</v>
      </c>
      <c r="Z17" s="198">
        <f>AA17/Y17</f>
        <v>279.3704584967914</v>
      </c>
      <c r="AA17" s="596">
        <f>SUM(AA11:AA16)</f>
        <v>19242478.440341998</v>
      </c>
      <c r="AB17" s="228"/>
      <c r="AC17" s="228"/>
      <c r="AD17" s="228"/>
      <c r="AE17" s="227">
        <f>AF17/Q17</f>
        <v>361.89359993030155</v>
      </c>
      <c r="AF17" s="227">
        <f>SUM(AF11:AF16)</f>
        <v>24922888.440000005</v>
      </c>
      <c r="AG17" s="196"/>
      <c r="AH17" s="668">
        <f>AI17/U17</f>
        <v>221.308370188608</v>
      </c>
      <c r="AI17" s="227">
        <f>SUM(AI11:AI16)</f>
        <v>15242171.379999999</v>
      </c>
      <c r="AJ17" s="228"/>
      <c r="AK17" s="227">
        <f>AL17/Y17</f>
        <v>177.06869218037693</v>
      </c>
      <c r="AL17" s="227">
        <f>SUM(AL11:AL16)</f>
        <v>12196137.380000003</v>
      </c>
      <c r="AM17" s="297"/>
      <c r="AN17" s="228"/>
      <c r="AO17" s="228"/>
      <c r="AP17" s="227">
        <f>AQ17/Q17</f>
        <v>361.89359993030155</v>
      </c>
      <c r="AQ17" s="198">
        <f>SUM(AQ11:AQ16)</f>
        <v>24922888.440000005</v>
      </c>
      <c r="AR17" s="228"/>
      <c r="AS17" s="228"/>
      <c r="AT17" s="227">
        <f>AU17/Q17</f>
        <v>363.0893657431609</v>
      </c>
      <c r="AU17" s="198">
        <f>SUM(AU11:AU16)</f>
        <v>25005238.440000005</v>
      </c>
      <c r="AV17" s="228"/>
      <c r="AW17" s="228"/>
      <c r="AX17" s="227">
        <f>AY17/U17</f>
        <v>371.43364758323293</v>
      </c>
      <c r="AY17" s="198">
        <f>SUM(AY11:AY16)</f>
        <v>25581749.610000003</v>
      </c>
      <c r="AZ17" s="228"/>
      <c r="BA17" s="228"/>
      <c r="BB17" s="734">
        <f>SUM(BB11:BB16)</f>
        <v>168508</v>
      </c>
      <c r="BC17" s="195">
        <f>BD17/BB17</f>
        <v>327.49267709435759</v>
      </c>
      <c r="BD17" s="332">
        <f>SUM(BD11:BD16)</f>
        <v>55185136.031816006</v>
      </c>
      <c r="BE17" s="228"/>
      <c r="BF17" s="665">
        <f>SUM(BF11:BF16)</f>
        <v>168551</v>
      </c>
      <c r="BG17" s="599">
        <f>BH17/BF17</f>
        <v>289.04060717463551</v>
      </c>
      <c r="BH17" s="592">
        <f>SUM(BH11:BH16)</f>
        <v>48718083.379891992</v>
      </c>
      <c r="BI17" s="228"/>
      <c r="BJ17" s="665">
        <f>SUM(BJ11:BJ16)</f>
        <v>168558</v>
      </c>
      <c r="BK17" s="599">
        <f>BL17/BJ17</f>
        <v>289.02860368419181</v>
      </c>
      <c r="BL17" s="592">
        <f>SUM(BL11:BL16)</f>
        <v>48718083.379799999</v>
      </c>
      <c r="BM17" s="228"/>
      <c r="BN17" s="228"/>
      <c r="BO17" s="228"/>
      <c r="BP17" s="545">
        <f>SUM(BP11:BP16)</f>
        <v>56939164.029999986</v>
      </c>
      <c r="BQ17" s="228"/>
      <c r="BR17" s="228"/>
      <c r="BS17" s="228"/>
      <c r="BT17" s="228"/>
      <c r="BU17" s="545">
        <f>SUM(BU11:BU16)</f>
        <v>55570220.669999987</v>
      </c>
      <c r="BV17" s="228"/>
      <c r="BW17" s="228"/>
      <c r="BX17" s="228"/>
      <c r="BY17" s="228"/>
      <c r="BZ17" s="228"/>
      <c r="CA17" s="228"/>
      <c r="CB17" s="228"/>
      <c r="CC17" s="228"/>
      <c r="CD17" s="510">
        <f>SUM(CD11:CD16)</f>
        <v>64152</v>
      </c>
      <c r="CE17" s="230">
        <f>CF17/CD17</f>
        <v>266.71242985409651</v>
      </c>
      <c r="CF17" s="230">
        <f>SUM(CF11:CF16)</f>
        <v>17110135.800000001</v>
      </c>
      <c r="CG17" s="506"/>
      <c r="CH17" s="506"/>
      <c r="CI17" s="203"/>
      <c r="CJ17" s="335"/>
      <c r="CK17" s="232"/>
      <c r="CL17" s="549">
        <f>SUM(CL11:CL16)</f>
        <v>17110135.800000001</v>
      </c>
      <c r="CM17" s="216"/>
      <c r="CN17" s="203">
        <f>SUM(CN11:CN16)</f>
        <v>45830885.5</v>
      </c>
      <c r="CO17" s="203"/>
      <c r="CP17" s="506"/>
      <c r="CQ17" s="524" t="s">
        <v>385</v>
      </c>
      <c r="CR17" s="522">
        <f>CS16-CJ16</f>
        <v>4538089.07</v>
      </c>
      <c r="CS17" s="523"/>
      <c r="CT17" s="232"/>
      <c r="CU17" s="229">
        <f>SUM(CU11:CU16)</f>
        <v>21588339.746879999</v>
      </c>
      <c r="CV17" s="199">
        <v>59869.07</v>
      </c>
      <c r="CW17" s="199" t="s">
        <v>384</v>
      </c>
      <c r="CX17" s="527">
        <f>CX14-CU18</f>
        <v>21588323.700000003</v>
      </c>
      <c r="CY17" s="528" t="s">
        <v>389</v>
      </c>
      <c r="CZ17" s="232"/>
      <c r="DA17" s="229">
        <f>SUM(DA11:DA16)</f>
        <v>21648208.817376003</v>
      </c>
      <c r="DB17" s="537">
        <f>DB15-CL17</f>
        <v>4538073.0199999996</v>
      </c>
      <c r="DC17" s="538">
        <f>DB17/CD17</f>
        <v>70.739384898366367</v>
      </c>
      <c r="DD17" s="543"/>
      <c r="DE17" s="522"/>
      <c r="DF17" s="523"/>
      <c r="DG17" s="544" t="s">
        <v>399</v>
      </c>
      <c r="DH17" s="229">
        <f>SUM(DH11:DH16)</f>
        <v>23284363.258187998</v>
      </c>
      <c r="DI17" s="199">
        <v>59869.07</v>
      </c>
      <c r="DJ17" s="199" t="s">
        <v>384</v>
      </c>
      <c r="DK17" s="527">
        <f>DM14-DH18</f>
        <v>23284363.260000002</v>
      </c>
      <c r="DL17" s="528" t="s">
        <v>398</v>
      </c>
      <c r="DM17" s="528">
        <f>DO14-DA17</f>
        <v>1636154.442623999</v>
      </c>
      <c r="DN17" s="557">
        <f>DM17/CD17</f>
        <v>25.504340357650563</v>
      </c>
      <c r="DO17" s="528"/>
      <c r="DP17" s="528"/>
      <c r="DQ17" s="522"/>
      <c r="DR17" s="523"/>
      <c r="DS17" s="566" t="s">
        <v>399</v>
      </c>
      <c r="DT17" s="229">
        <f>SUM(DT11:DT16)</f>
        <v>23340805.060103998</v>
      </c>
      <c r="DU17" s="199">
        <v>59869.07</v>
      </c>
      <c r="DV17" s="199" t="s">
        <v>384</v>
      </c>
      <c r="DW17" s="527">
        <f>DX14-DT18</f>
        <v>23340805.060000002</v>
      </c>
      <c r="DX17" s="528" t="s">
        <v>398</v>
      </c>
      <c r="DY17" s="528">
        <f>DW17-DH17</f>
        <v>56441.801812004298</v>
      </c>
      <c r="DZ17" s="557">
        <f>DY17/$CD$17</f>
        <v>0.87981359602201492</v>
      </c>
      <c r="EA17" s="557"/>
      <c r="EB17" s="522"/>
      <c r="EC17" s="523"/>
      <c r="ED17" s="566" t="s">
        <v>399</v>
      </c>
      <c r="EE17" s="229">
        <f>SUM(EE11:EE16)</f>
        <v>23340805.060103998</v>
      </c>
      <c r="EF17" s="199">
        <v>59869.07</v>
      </c>
      <c r="EG17" s="199" t="s">
        <v>384</v>
      </c>
      <c r="EH17" s="527">
        <f>EI14-EE18</f>
        <v>23340805.060000002</v>
      </c>
      <c r="EI17" s="528" t="s">
        <v>398</v>
      </c>
      <c r="EJ17" s="528"/>
      <c r="EK17" s="557">
        <f>EJ17/$CD$17</f>
        <v>0</v>
      </c>
      <c r="EL17" s="557"/>
      <c r="EM17" s="557"/>
      <c r="EN17" s="522"/>
      <c r="EO17" s="523"/>
      <c r="EP17" s="566" t="s">
        <v>399</v>
      </c>
      <c r="EQ17" s="229">
        <f>SUM(EQ11:EQ16)</f>
        <v>28209007.918476</v>
      </c>
      <c r="ER17" s="572">
        <v>59869.07</v>
      </c>
      <c r="ES17" s="572" t="s">
        <v>384</v>
      </c>
      <c r="ET17" s="177"/>
      <c r="EU17" s="177"/>
      <c r="EV17" s="177"/>
      <c r="EW17" s="177"/>
      <c r="EX17" s="177"/>
      <c r="EY17" s="177"/>
      <c r="EZ17" s="216">
        <v>16358248.109999999</v>
      </c>
      <c r="FA17" s="216">
        <v>28209007.920000002</v>
      </c>
      <c r="FB17" s="605">
        <f>SUM(FB11:FB16)</f>
        <v>44956</v>
      </c>
      <c r="FC17" s="230">
        <f>FD17/FB17</f>
        <v>627.48037894741526</v>
      </c>
      <c r="FD17" s="596">
        <f>SUM(FD11:FD16)</f>
        <v>28209007.915960003</v>
      </c>
      <c r="FE17" s="332">
        <f>FG17/FB17</f>
        <v>380.59737970566772</v>
      </c>
      <c r="FF17" s="545">
        <f>FG17/FB17</f>
        <v>380.59737970566772</v>
      </c>
      <c r="FG17" s="230">
        <f>SUM(FG11:FG16)</f>
        <v>17110135.802047998</v>
      </c>
      <c r="FH17" s="216"/>
      <c r="FI17" s="479"/>
      <c r="FJ17" s="216"/>
      <c r="FK17" s="216"/>
      <c r="FL17" s="216"/>
      <c r="FM17" s="651"/>
      <c r="FN17" s="216"/>
      <c r="FO17" s="216"/>
      <c r="FP17" s="216"/>
      <c r="FQ17" s="216"/>
      <c r="FR17" s="216"/>
      <c r="FS17" s="216"/>
      <c r="FT17" s="216"/>
      <c r="FU17" s="216"/>
      <c r="FV17" s="216"/>
      <c r="FX17" s="527" t="e">
        <f>FY14-EQ18</f>
        <v>#REF!</v>
      </c>
      <c r="FY17" s="528" t="s">
        <v>398</v>
      </c>
      <c r="FZ17" s="528"/>
      <c r="GA17" s="557">
        <f>FZ17/$CD$17</f>
        <v>0</v>
      </c>
      <c r="GB17" s="557"/>
      <c r="GC17" s="329"/>
      <c r="GD17" s="228"/>
      <c r="GE17" s="203"/>
      <c r="GF17" s="335"/>
      <c r="GG17" s="232"/>
      <c r="GH17" s="229" t="e">
        <f>SUM(GH11:GH16)</f>
        <v>#VALUE!</v>
      </c>
      <c r="GI17" s="216"/>
      <c r="GJ17" s="203"/>
      <c r="GK17" s="335"/>
      <c r="GL17" s="232"/>
      <c r="GM17" s="229" t="e">
        <f>SUM(GM11:GM16)</f>
        <v>#VALUE!</v>
      </c>
      <c r="GN17" s="216"/>
      <c r="GO17" s="203"/>
      <c r="GP17" s="335"/>
      <c r="GQ17" s="232"/>
      <c r="GR17" s="229" t="e">
        <f>SUM(GR11:GR16)</f>
        <v>#VALUE!</v>
      </c>
      <c r="GS17" s="216"/>
      <c r="GT17" s="216"/>
      <c r="GU17" s="216"/>
      <c r="GV17" s="229"/>
      <c r="GW17" s="229"/>
      <c r="GX17" s="228"/>
      <c r="GY17" s="230"/>
      <c r="GZ17" s="231"/>
      <c r="HA17" s="232"/>
      <c r="HB17" s="229"/>
      <c r="HC17" s="228"/>
      <c r="HD17" s="228"/>
      <c r="HE17" s="232"/>
      <c r="HF17" s="229"/>
      <c r="HG17" s="233"/>
      <c r="HH17" s="228"/>
      <c r="HI17" s="203"/>
      <c r="HJ17" s="229"/>
      <c r="HK17" s="228"/>
      <c r="HL17" s="228"/>
      <c r="HM17" s="203"/>
      <c r="HN17" s="229"/>
      <c r="HO17" s="228"/>
      <c r="HP17" s="228"/>
      <c r="HQ17" s="202"/>
      <c r="HR17" s="203"/>
      <c r="HS17" s="229"/>
      <c r="HT17" s="234"/>
      <c r="HU17" s="931"/>
      <c r="HV17" s="923"/>
      <c r="HW17" s="228"/>
      <c r="HX17" s="202"/>
      <c r="HY17" s="203"/>
      <c r="HZ17" s="229"/>
      <c r="IA17" s="234"/>
      <c r="IB17" s="931"/>
      <c r="IC17" s="923"/>
      <c r="ID17" s="480"/>
      <c r="IE17" s="228"/>
      <c r="IF17" s="208">
        <v>231.71</v>
      </c>
      <c r="IG17" s="235">
        <f>SUM(IG11:IG16)</f>
        <v>114192</v>
      </c>
      <c r="II17" s="236">
        <f>SUM(II11:II16)</f>
        <v>22642242.800000001</v>
      </c>
      <c r="IJ17" s="208">
        <f>1388260+5445800+21848112</f>
        <v>28682172</v>
      </c>
      <c r="IK17" s="237">
        <f>SUM(IK11:IK16)+0.02</f>
        <v>23739014.800000001</v>
      </c>
      <c r="IL17" s="238"/>
      <c r="IM17" s="239">
        <f>SUM(IM11:IM16)+0.02</f>
        <v>25472480.800000001</v>
      </c>
      <c r="IN17" s="240"/>
      <c r="IO17" s="237">
        <f>SUM(IO11:IO16)+0.02</f>
        <v>25540680.800020002</v>
      </c>
      <c r="IQ17" s="237">
        <f>SUM(IQ11:IQ16)+0.02</f>
        <v>25590680.800000001</v>
      </c>
      <c r="IR17" s="494">
        <v>18070083</v>
      </c>
      <c r="IS17" s="241"/>
      <c r="IT17" s="242"/>
      <c r="IU17" s="243"/>
      <c r="IV17" s="244"/>
      <c r="IW17" s="243"/>
      <c r="IX17" s="245"/>
      <c r="IY17" s="246"/>
      <c r="IZ17" s="247"/>
      <c r="JA17" s="258">
        <v>15760300</v>
      </c>
      <c r="JB17" s="250">
        <v>2113170.35</v>
      </c>
      <c r="JC17" s="272">
        <f>JA17+JB17</f>
        <v>17873470.350000001</v>
      </c>
      <c r="JD17" s="272">
        <f>JC17-J19</f>
        <v>17873470.350000001</v>
      </c>
      <c r="JE17" s="250">
        <f>IR17-JD17</f>
        <v>196612.64999999851</v>
      </c>
      <c r="JF17" s="259">
        <f>JE17/D17</f>
        <v>1.1862429409209294</v>
      </c>
    </row>
    <row r="18" spans="1:266" ht="47.4" customHeight="1" x14ac:dyDescent="0.25">
      <c r="A18" s="192" t="s">
        <v>228</v>
      </c>
      <c r="B18" s="193" t="s">
        <v>240</v>
      </c>
      <c r="C18" s="145" t="s">
        <v>241</v>
      </c>
      <c r="D18" s="145">
        <f>2-2</f>
        <v>0</v>
      </c>
      <c r="E18" s="145">
        <v>2</v>
      </c>
      <c r="F18" s="145">
        <v>2</v>
      </c>
      <c r="G18" s="145">
        <f>2-2</f>
        <v>0</v>
      </c>
      <c r="H18" s="145">
        <f>1-1</f>
        <v>0</v>
      </c>
      <c r="I18" s="195">
        <v>191863.84</v>
      </c>
      <c r="J18" s="195">
        <f>D18*I18</f>
        <v>0</v>
      </c>
      <c r="K18" s="195">
        <v>191863.84</v>
      </c>
      <c r="L18" s="195">
        <f>G18*K18</f>
        <v>0</v>
      </c>
      <c r="M18" s="195">
        <v>191863.84</v>
      </c>
      <c r="N18" s="195">
        <f>H18*M18</f>
        <v>0</v>
      </c>
      <c r="O18" s="212"/>
      <c r="P18" s="212"/>
      <c r="Q18" s="508">
        <v>4</v>
      </c>
      <c r="R18" s="205">
        <v>191863.84</v>
      </c>
      <c r="S18" s="205">
        <f>R18*Q18-0.02</f>
        <v>767455.34</v>
      </c>
      <c r="T18" s="212"/>
      <c r="U18" s="178">
        <f>4-4</f>
        <v>0</v>
      </c>
      <c r="V18" s="205">
        <f>191863.84-191863.84</f>
        <v>0</v>
      </c>
      <c r="W18" s="205">
        <f>U18*V18</f>
        <v>0</v>
      </c>
      <c r="X18" s="212"/>
      <c r="Y18" s="178">
        <f>4-4</f>
        <v>0</v>
      </c>
      <c r="Z18" s="205">
        <f>191863.84-191863.84</f>
        <v>0</v>
      </c>
      <c r="AA18" s="205">
        <f>Y18*Z18</f>
        <v>0</v>
      </c>
      <c r="AB18" s="212"/>
      <c r="AC18" s="212"/>
      <c r="AD18" s="508">
        <v>4</v>
      </c>
      <c r="AE18" s="205">
        <v>191863.84</v>
      </c>
      <c r="AF18" s="205">
        <f>AE18*AD18-0.02</f>
        <v>767455.34</v>
      </c>
      <c r="AG18" s="212"/>
      <c r="AH18" s="212"/>
      <c r="AI18" s="212"/>
      <c r="AJ18" s="212"/>
      <c r="AK18" s="212"/>
      <c r="AL18" s="212"/>
      <c r="AM18" s="212"/>
      <c r="AN18" s="212"/>
      <c r="AO18" s="508">
        <v>4</v>
      </c>
      <c r="AP18" s="205">
        <v>191863.84</v>
      </c>
      <c r="AQ18" s="205">
        <f>AP18*AO18-0.02</f>
        <v>767455.34</v>
      </c>
      <c r="AS18" s="212"/>
      <c r="AT18" s="205">
        <v>191863.84</v>
      </c>
      <c r="AU18" s="205">
        <f>AT18*AO18-0.02</f>
        <v>767455.34</v>
      </c>
      <c r="AV18" s="212"/>
      <c r="AW18" s="212"/>
      <c r="AX18" s="212"/>
      <c r="AY18" s="212"/>
      <c r="AZ18" s="212"/>
      <c r="BA18" s="212"/>
      <c r="BB18" s="743">
        <v>4</v>
      </c>
      <c r="BC18" s="205">
        <v>191863.84</v>
      </c>
      <c r="BD18" s="203">
        <f>BC18*BB18-0.02</f>
        <v>767455.34</v>
      </c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05">
        <v>191863.84</v>
      </c>
      <c r="BP18" s="203">
        <f>BO18*BB18-0.02</f>
        <v>767455.34</v>
      </c>
      <c r="BQ18" s="212"/>
      <c r="BR18" s="212"/>
      <c r="BS18" s="212"/>
      <c r="BT18" s="205">
        <v>191863.84</v>
      </c>
      <c r="BU18" s="203">
        <f>BT18*BB18-0.02</f>
        <v>767455.34</v>
      </c>
      <c r="BV18" s="212"/>
      <c r="BW18" s="212"/>
      <c r="BX18" s="212"/>
      <c r="BY18" s="212"/>
      <c r="BZ18" s="212"/>
      <c r="CA18" s="212"/>
      <c r="CB18" s="212"/>
      <c r="CC18" s="212"/>
      <c r="CD18" s="508">
        <v>4</v>
      </c>
      <c r="CE18" s="205">
        <v>190837.65</v>
      </c>
      <c r="CF18" s="205">
        <f>CE18*CD18</f>
        <v>763350.6</v>
      </c>
      <c r="CG18" s="177"/>
      <c r="CH18" s="177"/>
      <c r="CI18" s="177"/>
      <c r="CJ18" s="177"/>
      <c r="CK18" s="205">
        <v>190837.65</v>
      </c>
      <c r="CL18" s="203">
        <f>CK18*CD18</f>
        <v>763350.6</v>
      </c>
      <c r="CM18" s="177"/>
      <c r="CN18" s="177"/>
      <c r="CO18" s="177"/>
      <c r="CP18" s="177"/>
      <c r="CQ18" s="177"/>
      <c r="CR18" s="177"/>
      <c r="CS18" s="177">
        <v>190837.65</v>
      </c>
      <c r="CT18" s="204">
        <f>190837.65+4.0125</f>
        <v>190841.66250000001</v>
      </c>
      <c r="CU18" s="203">
        <f>CT18*CD18</f>
        <v>763366.65</v>
      </c>
      <c r="CV18" s="177"/>
      <c r="CW18" s="177"/>
      <c r="CX18" s="177"/>
      <c r="CY18" s="177"/>
      <c r="CZ18" s="177"/>
      <c r="DA18" s="177"/>
      <c r="DB18" s="177"/>
      <c r="DC18" s="212"/>
      <c r="DD18" s="212"/>
      <c r="DE18" s="177"/>
      <c r="DF18" s="177">
        <v>190837.65</v>
      </c>
      <c r="DG18" s="204">
        <f>190837.65+4.0125</f>
        <v>190841.66250000001</v>
      </c>
      <c r="DH18" s="203">
        <f>DG18*CD18</f>
        <v>763366.65</v>
      </c>
      <c r="DI18" s="189" t="s">
        <v>400</v>
      </c>
      <c r="DJ18" s="177"/>
      <c r="DK18" s="177"/>
      <c r="DL18" s="177"/>
      <c r="DM18" s="177"/>
      <c r="DN18" s="177"/>
      <c r="DO18" s="177"/>
      <c r="DP18" s="177"/>
      <c r="DQ18" s="177"/>
      <c r="DR18" s="177"/>
      <c r="DS18" s="204">
        <f>190837.65+4.0125</f>
        <v>190841.66250000001</v>
      </c>
      <c r="DT18" s="203">
        <f>DS18*CD18</f>
        <v>763366.65</v>
      </c>
      <c r="DU18" s="189" t="s">
        <v>400</v>
      </c>
      <c r="DV18" s="177"/>
      <c r="DW18" s="177"/>
      <c r="DX18" s="177"/>
      <c r="DY18" s="177"/>
      <c r="DZ18" s="177"/>
      <c r="EA18" s="177"/>
      <c r="EB18" s="177"/>
      <c r="EC18" s="177"/>
      <c r="ED18" s="204">
        <f>190837.65+4.0125</f>
        <v>190841.66250000001</v>
      </c>
      <c r="EE18" s="203">
        <f>ED18*$CD$18</f>
        <v>763366.65</v>
      </c>
      <c r="EF18" s="189" t="s">
        <v>400</v>
      </c>
      <c r="EG18" s="177"/>
      <c r="EH18" s="177"/>
      <c r="EI18" s="177"/>
      <c r="EJ18" s="177"/>
      <c r="EK18" s="177"/>
      <c r="EL18" s="177"/>
      <c r="EM18" s="177"/>
      <c r="EN18" s="177"/>
      <c r="EO18" s="177"/>
      <c r="EP18" s="230" t="e">
        <f>EQ18/#REF!</f>
        <v>#REF!</v>
      </c>
      <c r="EQ18" s="270" t="e">
        <f>SUM(#REF!)</f>
        <v>#REF!</v>
      </c>
      <c r="ER18" s="216"/>
      <c r="ES18" s="177"/>
      <c r="ET18" s="177"/>
      <c r="EU18" s="177"/>
      <c r="EV18" s="177"/>
      <c r="EW18" s="177"/>
      <c r="EX18" s="177"/>
      <c r="EY18" s="177"/>
      <c r="EZ18" s="177"/>
      <c r="FA18" s="177"/>
      <c r="FB18" s="508">
        <v>4</v>
      </c>
      <c r="FC18" s="205">
        <v>190841.66</v>
      </c>
      <c r="FD18" s="203">
        <f>FC18*FB18+0.01</f>
        <v>763366.65</v>
      </c>
      <c r="FE18" s="177"/>
      <c r="FF18" s="205">
        <v>190837.65</v>
      </c>
      <c r="FG18" s="203">
        <f>FF18*FB18-0.02</f>
        <v>763350.58</v>
      </c>
      <c r="FH18" s="177"/>
      <c r="FI18" s="177"/>
      <c r="FJ18" s="601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X18" s="177"/>
      <c r="FY18" s="177"/>
      <c r="FZ18" s="177"/>
      <c r="GA18" s="177"/>
      <c r="GB18" s="212"/>
      <c r="GC18" s="328"/>
      <c r="GD18" s="456" t="e">
        <f>#REF!-#REF!</f>
        <v>#REF!</v>
      </c>
      <c r="GE18" s="467" t="e">
        <f>#REF!-#REF!</f>
        <v>#REF!</v>
      </c>
      <c r="GF18" s="327" t="e">
        <f>#REF!-#REF!</f>
        <v>#REF!</v>
      </c>
      <c r="GG18" s="327" t="e">
        <f>#REF!-#REF!</f>
        <v>#REF!</v>
      </c>
      <c r="GH18" s="327" t="e">
        <f>#REF!-#REF!</f>
        <v>#REF!</v>
      </c>
      <c r="GI18" s="457">
        <v>4334708.4000000004</v>
      </c>
      <c r="GJ18" s="476" t="s">
        <v>333</v>
      </c>
      <c r="GK18" s="177"/>
      <c r="GL18" s="177"/>
      <c r="GM18" s="260"/>
      <c r="GN18" s="260"/>
      <c r="GO18" s="260"/>
      <c r="GP18" s="260"/>
      <c r="GQ18" s="260"/>
      <c r="GR18" s="260"/>
      <c r="GS18" s="260"/>
      <c r="GT18" s="260"/>
      <c r="GU18" s="260"/>
      <c r="GV18" s="261"/>
      <c r="GW18" s="261"/>
      <c r="GX18" s="260"/>
      <c r="GY18" s="260"/>
      <c r="GZ18" s="260"/>
      <c r="HA18" s="260"/>
      <c r="HB18" s="260"/>
      <c r="HC18" s="260"/>
      <c r="HD18" s="260"/>
      <c r="HE18" s="260"/>
      <c r="HF18" s="260"/>
      <c r="HG18" s="260"/>
      <c r="HH18" s="260"/>
      <c r="HI18" s="260"/>
      <c r="HJ18" s="260"/>
      <c r="HK18" s="260"/>
      <c r="HL18" s="260"/>
      <c r="HM18" s="260"/>
      <c r="HN18" s="260"/>
      <c r="HO18" s="260"/>
      <c r="HP18" s="260"/>
      <c r="HQ18" s="260"/>
      <c r="HR18" s="260"/>
      <c r="HS18" s="260"/>
      <c r="HT18" s="260"/>
      <c r="HU18" s="260"/>
      <c r="HV18" s="260"/>
      <c r="HW18" s="260"/>
      <c r="HX18" s="260"/>
      <c r="HY18" s="260"/>
      <c r="HZ18" s="260"/>
      <c r="IA18" s="260"/>
      <c r="IB18" s="260"/>
      <c r="IC18" s="260"/>
      <c r="ID18" s="260"/>
      <c r="IE18" s="260"/>
      <c r="IF18" s="25"/>
      <c r="IR18" s="496">
        <v>27957399.120000001</v>
      </c>
      <c r="JA18" s="258">
        <v>24652200</v>
      </c>
      <c r="JB18" s="181">
        <v>0</v>
      </c>
      <c r="JC18" s="258">
        <f>JA18</f>
        <v>24652200</v>
      </c>
      <c r="JD18" s="258">
        <f>IR18-JC18</f>
        <v>3305199.120000001</v>
      </c>
      <c r="JE18" s="259" t="e">
        <f>JD18/#REF!</f>
        <v>#REF!</v>
      </c>
    </row>
    <row r="19" spans="1:266" ht="30" customHeight="1" x14ac:dyDescent="0.25">
      <c r="A19" s="224" t="s">
        <v>242</v>
      </c>
      <c r="B19" s="225" t="s">
        <v>243</v>
      </c>
      <c r="C19" s="145"/>
      <c r="D19" s="262">
        <f>SUM(D18:D18)</f>
        <v>0</v>
      </c>
      <c r="E19" s="263">
        <f>SUM(E18:E18)</f>
        <v>2</v>
      </c>
      <c r="F19" s="263">
        <f>SUM(F18:F18)</f>
        <v>2</v>
      </c>
      <c r="G19" s="262">
        <f>SUM(G18:G18)</f>
        <v>0</v>
      </c>
      <c r="H19" s="262">
        <f>SUM(H18:H18)</f>
        <v>0</v>
      </c>
      <c r="I19" s="195">
        <f>I18</f>
        <v>191863.84</v>
      </c>
      <c r="J19" s="227">
        <f>SUM(J18:J18)</f>
        <v>0</v>
      </c>
      <c r="K19" s="227">
        <f>K18</f>
        <v>191863.84</v>
      </c>
      <c r="L19" s="227">
        <f>SUM(L18:L18)</f>
        <v>0</v>
      </c>
      <c r="M19" s="195">
        <f>M18</f>
        <v>191863.84</v>
      </c>
      <c r="N19" s="227">
        <f>SUM(N18:N18)</f>
        <v>0</v>
      </c>
      <c r="O19" s="254"/>
      <c r="P19" s="254"/>
      <c r="Q19" s="509"/>
      <c r="R19" s="203"/>
      <c r="S19" s="203" t="e">
        <f>S18+#REF!+S17</f>
        <v>#REF!</v>
      </c>
      <c r="T19" s="254"/>
      <c r="U19" s="660"/>
      <c r="V19" s="227"/>
      <c r="W19" s="203" t="e">
        <f>W18+#REF!+W17</f>
        <v>#REF!</v>
      </c>
      <c r="X19" s="254"/>
      <c r="Y19" s="254"/>
      <c r="Z19" s="254"/>
      <c r="AA19" s="203" t="e">
        <f>AA18+#REF!+AA17</f>
        <v>#REF!</v>
      </c>
      <c r="AB19" s="254"/>
      <c r="AC19" s="254"/>
      <c r="AD19" s="509"/>
      <c r="AE19" s="203"/>
      <c r="AF19" s="203" t="e">
        <f>AF18+#REF!+AF17</f>
        <v>#REF!</v>
      </c>
      <c r="AG19" s="254"/>
      <c r="AH19" s="254"/>
      <c r="AI19" s="254"/>
      <c r="AJ19" s="254"/>
      <c r="AK19" s="254"/>
      <c r="AL19" s="254"/>
      <c r="AM19" s="254"/>
      <c r="AN19" s="254"/>
      <c r="AO19" s="509"/>
      <c r="AP19" s="203"/>
      <c r="AQ19" s="198" t="e">
        <f>AQ18+#REF!+AQ17</f>
        <v>#REF!</v>
      </c>
      <c r="AS19" s="254"/>
      <c r="AT19" s="203"/>
      <c r="AU19" s="198" t="e">
        <f>AU18+#REF!+AU17</f>
        <v>#REF!</v>
      </c>
      <c r="AV19" s="254"/>
      <c r="AW19" s="254"/>
      <c r="AX19" s="254"/>
      <c r="AY19" s="254"/>
      <c r="AZ19" s="254"/>
      <c r="BA19" s="254"/>
      <c r="BB19" s="254"/>
      <c r="BC19" s="254"/>
      <c r="BD19" s="227">
        <f>BD17+BD18</f>
        <v>55952591.371816009</v>
      </c>
      <c r="BE19" s="216"/>
      <c r="BF19" s="216"/>
      <c r="BG19" s="216"/>
      <c r="BH19" s="254"/>
      <c r="BI19" s="254"/>
      <c r="BJ19" s="254"/>
      <c r="BK19" s="254"/>
      <c r="BL19" s="254"/>
      <c r="BM19" s="254"/>
      <c r="BN19" s="254"/>
      <c r="BO19" s="254"/>
      <c r="BP19" s="581">
        <f>BP18+BP17</f>
        <v>57706619.36999999</v>
      </c>
      <c r="BQ19" s="254"/>
      <c r="BR19" s="254"/>
      <c r="BS19" s="254"/>
      <c r="BT19" s="254"/>
      <c r="BU19" s="581">
        <f>BU18+BU17</f>
        <v>56337676.00999999</v>
      </c>
      <c r="BV19" s="254"/>
      <c r="BW19" s="254"/>
      <c r="BX19" s="254"/>
      <c r="BY19" s="254"/>
      <c r="BZ19" s="254"/>
      <c r="CA19" s="254"/>
      <c r="CB19" s="254"/>
      <c r="CC19" s="254"/>
      <c r="CD19" s="509">
        <v>4</v>
      </c>
      <c r="CE19" s="203"/>
      <c r="CF19" s="203"/>
      <c r="CG19" s="216"/>
      <c r="CH19" s="216"/>
      <c r="CI19" s="216"/>
      <c r="CJ19" s="216"/>
      <c r="CK19" s="203"/>
      <c r="CL19" s="203" t="e">
        <f>CL18+#REF!+CL17</f>
        <v>#REF!</v>
      </c>
      <c r="CM19" s="216"/>
      <c r="CN19" s="216"/>
      <c r="CO19" s="216"/>
      <c r="CP19" s="216"/>
      <c r="CQ19" s="216"/>
      <c r="CR19" s="216"/>
      <c r="CS19" s="216"/>
      <c r="CT19" s="203"/>
      <c r="CU19" s="229" t="e">
        <f>CU18+#REF!+CU17</f>
        <v>#REF!</v>
      </c>
      <c r="CV19" s="533" t="s">
        <v>390</v>
      </c>
      <c r="CW19" s="216"/>
      <c r="CX19" s="216"/>
      <c r="CY19" s="216"/>
      <c r="CZ19" s="216"/>
      <c r="DA19" s="216"/>
      <c r="DB19" s="216"/>
      <c r="DC19" s="254"/>
      <c r="DD19" s="254"/>
      <c r="DE19" s="216"/>
      <c r="DF19" s="216"/>
      <c r="DG19" s="203"/>
      <c r="DH19" s="229" t="e">
        <f>DH18+#REF!+DH17</f>
        <v>#REF!</v>
      </c>
      <c r="DI19" s="533" t="s">
        <v>407</v>
      </c>
      <c r="DJ19" s="216"/>
      <c r="DK19" s="216"/>
      <c r="DL19" s="216"/>
      <c r="DM19" s="216"/>
      <c r="DN19" s="216"/>
      <c r="DO19" s="216"/>
      <c r="DP19" s="216"/>
      <c r="DQ19" s="216"/>
      <c r="DR19" s="216"/>
      <c r="DS19" s="203"/>
      <c r="DT19" s="229" t="e">
        <f>DT18+#REF!+DT17</f>
        <v>#REF!</v>
      </c>
      <c r="DU19" s="533" t="s">
        <v>407</v>
      </c>
      <c r="DV19" s="216"/>
      <c r="DW19" s="216"/>
      <c r="DX19" s="216"/>
      <c r="DY19" s="216"/>
      <c r="DZ19" s="216"/>
      <c r="EA19" s="216"/>
      <c r="EB19" s="216"/>
      <c r="EC19" s="216"/>
      <c r="ED19" s="203"/>
      <c r="EE19" s="229" t="e">
        <f>EE18+#REF!+EE17</f>
        <v>#REF!</v>
      </c>
      <c r="EF19" s="533" t="s">
        <v>407</v>
      </c>
      <c r="EG19" s="216"/>
      <c r="EH19" s="216"/>
      <c r="EI19" s="216"/>
      <c r="EJ19" s="216"/>
      <c r="EK19" s="216"/>
      <c r="EL19" s="216"/>
      <c r="EM19" s="216"/>
      <c r="EN19" s="216"/>
      <c r="EO19" s="216"/>
      <c r="EP19" s="204">
        <f>190837.65+4.0125</f>
        <v>190841.66250000001</v>
      </c>
      <c r="EQ19" s="203">
        <f>EP19*$CD$18</f>
        <v>763366.65</v>
      </c>
      <c r="ER19" s="189" t="s">
        <v>400</v>
      </c>
      <c r="ES19" s="216"/>
      <c r="ET19" s="216"/>
      <c r="EU19" s="216"/>
      <c r="EV19" s="216"/>
      <c r="EW19" s="216"/>
      <c r="EX19" s="216"/>
      <c r="EY19" s="216"/>
      <c r="EZ19" s="216"/>
      <c r="FA19" s="216"/>
      <c r="FB19" s="596" t="s">
        <v>305</v>
      </c>
      <c r="FC19" s="596"/>
      <c r="FD19" s="596" t="e">
        <f>FD17+#REF!+FD18</f>
        <v>#REF!</v>
      </c>
      <c r="FE19" s="216"/>
      <c r="FF19" s="592" t="s">
        <v>305</v>
      </c>
      <c r="FG19" s="592" t="e">
        <f>FG17+#REF!+FG18-0.01</f>
        <v>#REF!</v>
      </c>
      <c r="FH19" s="216"/>
      <c r="FI19" s="216"/>
      <c r="FJ19" s="216"/>
      <c r="FK19" s="216"/>
      <c r="FL19" s="216"/>
      <c r="FM19" s="216"/>
      <c r="FN19" s="216"/>
      <c r="FO19" s="216"/>
      <c r="FP19" s="216"/>
      <c r="FQ19" s="216"/>
      <c r="FR19" s="216"/>
      <c r="FS19" s="216"/>
      <c r="FT19" s="216"/>
      <c r="FU19" s="216"/>
      <c r="FV19" s="216"/>
      <c r="FX19" s="216"/>
      <c r="FY19" s="216"/>
      <c r="FZ19" s="216"/>
      <c r="GA19" s="216"/>
      <c r="GB19" s="254"/>
      <c r="GC19" s="461"/>
      <c r="GD19" s="462">
        <v>71</v>
      </c>
      <c r="GE19" s="466">
        <v>6408</v>
      </c>
      <c r="GF19" s="257"/>
      <c r="GG19" s="257"/>
      <c r="GH19" s="458" t="s">
        <v>332</v>
      </c>
      <c r="GI19" s="237" t="e">
        <f>#REF!+GI18</f>
        <v>#REF!</v>
      </c>
      <c r="GJ19" s="470" t="s">
        <v>326</v>
      </c>
      <c r="GK19" s="270" t="s">
        <v>329</v>
      </c>
      <c r="GL19" s="270" t="s">
        <v>330</v>
      </c>
      <c r="GM19" s="257"/>
      <c r="GN19" s="257"/>
      <c r="GO19" s="257"/>
      <c r="GP19" s="257"/>
      <c r="GQ19" s="257"/>
      <c r="GR19" s="257"/>
      <c r="GS19" s="257"/>
      <c r="GT19" s="257"/>
      <c r="GU19" s="257"/>
      <c r="GV19" s="255"/>
      <c r="GW19" s="256">
        <f>GR19</f>
        <v>0</v>
      </c>
      <c r="GX19" s="257"/>
      <c r="GY19" s="257"/>
      <c r="GZ19" s="257"/>
      <c r="HA19" s="257"/>
      <c r="HB19" s="257"/>
      <c r="HC19" s="257"/>
      <c r="HD19" s="257"/>
      <c r="HE19" s="257"/>
      <c r="HF19" s="257"/>
      <c r="HG19" s="257"/>
      <c r="HH19" s="257"/>
      <c r="HI19" s="257"/>
      <c r="HJ19" s="257"/>
      <c r="HK19" s="257"/>
      <c r="HL19" s="257"/>
      <c r="HM19" s="257"/>
      <c r="HN19" s="257"/>
      <c r="HO19" s="257"/>
      <c r="HP19" s="257"/>
      <c r="HQ19" s="257"/>
      <c r="HR19" s="257"/>
      <c r="HS19" s="257"/>
      <c r="HT19" s="257"/>
      <c r="HU19" s="257"/>
      <c r="HV19" s="257"/>
      <c r="HW19" s="257"/>
      <c r="HX19" s="257"/>
      <c r="HY19" s="257"/>
      <c r="HZ19" s="257"/>
      <c r="IA19" s="257"/>
      <c r="IB19" s="257"/>
      <c r="IC19" s="257"/>
      <c r="ID19" s="257"/>
      <c r="IE19" s="257"/>
      <c r="IF19" s="25"/>
      <c r="II19" s="250"/>
      <c r="IJ19" s="181"/>
      <c r="IK19" s="181"/>
      <c r="IL19" s="181"/>
      <c r="IM19" s="181" t="s">
        <v>244</v>
      </c>
      <c r="IN19" s="181" t="s">
        <v>245</v>
      </c>
      <c r="JC19" s="258" t="e">
        <f>JC18-#REF!</f>
        <v>#REF!</v>
      </c>
      <c r="JD19" s="259" t="e">
        <f>JC19/#REF!</f>
        <v>#REF!</v>
      </c>
    </row>
    <row r="20" spans="1:266" ht="22.95" hidden="1" customHeight="1" x14ac:dyDescent="0.25">
      <c r="A20" s="192" t="s">
        <v>228</v>
      </c>
      <c r="B20" s="193" t="s">
        <v>246</v>
      </c>
      <c r="C20" s="193" t="s">
        <v>130</v>
      </c>
      <c r="D20" s="193">
        <f>28+6</f>
        <v>34</v>
      </c>
      <c r="E20" s="193">
        <f>28+6</f>
        <v>34</v>
      </c>
      <c r="F20" s="193">
        <f>28+6</f>
        <v>34</v>
      </c>
      <c r="G20" s="193">
        <f>28+6</f>
        <v>34</v>
      </c>
      <c r="H20" s="193">
        <f>28+6</f>
        <v>34</v>
      </c>
      <c r="I20" s="264"/>
      <c r="J20" s="264"/>
      <c r="K20" s="264"/>
      <c r="L20" s="265"/>
      <c r="M20" s="265"/>
      <c r="N20" s="265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57"/>
      <c r="BF20" s="257"/>
      <c r="BG20" s="257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257"/>
      <c r="CW20" s="257"/>
      <c r="CX20" s="257"/>
      <c r="CY20" s="257"/>
      <c r="CZ20" s="257"/>
      <c r="DA20" s="257"/>
      <c r="DB20" s="257"/>
      <c r="DC20" s="266"/>
      <c r="DD20" s="266"/>
      <c r="DE20" s="257"/>
      <c r="DF20" s="257"/>
      <c r="DG20" s="257"/>
      <c r="DH20" s="257"/>
      <c r="DI20" s="257"/>
      <c r="DJ20" s="257"/>
      <c r="DK20" s="257"/>
      <c r="DL20" s="257"/>
      <c r="DM20" s="257"/>
      <c r="DN20" s="257"/>
      <c r="DO20" s="257"/>
      <c r="DP20" s="257"/>
      <c r="DQ20" s="257"/>
      <c r="DR20" s="257"/>
      <c r="DS20" s="257"/>
      <c r="DT20" s="257"/>
      <c r="DU20" s="257"/>
      <c r="DV20" s="257"/>
      <c r="DW20" s="257"/>
      <c r="DX20" s="257"/>
      <c r="DY20" s="257"/>
      <c r="DZ20" s="257"/>
      <c r="EA20" s="257"/>
      <c r="EB20" s="257"/>
      <c r="EC20" s="257"/>
      <c r="ED20" s="257"/>
      <c r="EE20" s="257"/>
      <c r="EF20" s="257"/>
      <c r="EG20" s="257"/>
      <c r="EH20" s="257"/>
      <c r="EI20" s="257"/>
      <c r="EJ20" s="257"/>
      <c r="EK20" s="257"/>
      <c r="EL20" s="257"/>
      <c r="EM20" s="257"/>
      <c r="EN20" s="257"/>
      <c r="EO20" s="257"/>
      <c r="EP20" s="203"/>
      <c r="EQ20" s="229" t="e">
        <f>EQ19+EQ18+#REF!</f>
        <v>#REF!</v>
      </c>
      <c r="ER20" s="533" t="s">
        <v>407</v>
      </c>
      <c r="ES20" s="257"/>
      <c r="ET20" s="257"/>
      <c r="EU20" s="257"/>
      <c r="EV20" s="257"/>
      <c r="EW20" s="257"/>
      <c r="EX20" s="257"/>
      <c r="EY20" s="257"/>
      <c r="EZ20" s="257"/>
      <c r="FA20" s="257"/>
      <c r="FB20" s="257"/>
      <c r="FC20" s="257"/>
      <c r="FD20" s="257"/>
      <c r="FE20" s="257"/>
      <c r="FF20" s="257"/>
      <c r="FG20" s="257"/>
      <c r="FH20" s="257"/>
      <c r="FI20" s="257"/>
      <c r="FJ20" s="257"/>
      <c r="FK20" s="257"/>
      <c r="FL20" s="257"/>
      <c r="FM20" s="257"/>
      <c r="FN20" s="257"/>
      <c r="FO20" s="257"/>
      <c r="FP20" s="257"/>
      <c r="FQ20" s="257"/>
      <c r="FR20" s="257"/>
      <c r="FS20" s="257"/>
      <c r="FT20" s="257"/>
      <c r="FU20" s="257"/>
      <c r="FV20" s="257"/>
      <c r="FW20" s="257"/>
      <c r="FX20" s="257"/>
      <c r="FY20" s="257"/>
      <c r="FZ20" s="257"/>
      <c r="GA20" s="257"/>
      <c r="GB20" s="266"/>
      <c r="GC20" s="257"/>
      <c r="GD20" s="463" t="e">
        <f>#REF!+GD19</f>
        <v>#REF!</v>
      </c>
      <c r="GE20" s="463" t="e">
        <f>#REF!+GE19</f>
        <v>#REF!</v>
      </c>
      <c r="GF20" s="257"/>
      <c r="GG20" s="257"/>
      <c r="GH20" s="257"/>
      <c r="GI20" s="257"/>
      <c r="GJ20" s="470"/>
      <c r="GK20" s="470"/>
      <c r="GL20" s="470"/>
      <c r="GM20" s="257"/>
      <c r="GN20" s="257"/>
      <c r="GO20" s="257"/>
      <c r="GP20" s="257"/>
      <c r="GQ20" s="257"/>
      <c r="GR20" s="257"/>
      <c r="GS20" s="257"/>
      <c r="GT20" s="257"/>
      <c r="GU20" s="257"/>
      <c r="GV20" s="257"/>
      <c r="GW20" s="257"/>
      <c r="GX20" s="257"/>
      <c r="GY20" s="257"/>
      <c r="GZ20" s="257"/>
      <c r="HA20" s="257"/>
      <c r="HB20" s="257"/>
      <c r="HC20" s="257"/>
      <c r="HD20" s="257"/>
      <c r="HE20" s="257"/>
      <c r="HF20" s="257"/>
      <c r="HG20" s="257"/>
      <c r="HH20" s="257"/>
      <c r="HI20" s="257"/>
      <c r="HJ20" s="257"/>
      <c r="HK20" s="257"/>
      <c r="HL20" s="257"/>
      <c r="HM20" s="257"/>
      <c r="HN20" s="257"/>
      <c r="HO20" s="257"/>
      <c r="HP20" s="257"/>
      <c r="HQ20" s="257"/>
      <c r="HR20" s="257"/>
      <c r="HS20" s="257"/>
      <c r="HT20" s="257"/>
      <c r="HU20" s="257"/>
      <c r="HV20" s="257"/>
      <c r="HW20" s="257"/>
      <c r="HX20" s="257"/>
      <c r="HY20" s="257"/>
      <c r="HZ20" s="257"/>
      <c r="IA20" s="257"/>
      <c r="IB20" s="257"/>
      <c r="IC20" s="257"/>
      <c r="ID20" s="257"/>
      <c r="IE20" s="257"/>
    </row>
    <row r="21" spans="1:266" ht="22.95" hidden="1" customHeight="1" x14ac:dyDescent="0.25">
      <c r="A21" s="192"/>
      <c r="B21" s="193" t="s">
        <v>247</v>
      </c>
      <c r="C21" s="193" t="s">
        <v>130</v>
      </c>
      <c r="D21" s="193"/>
      <c r="E21" s="193"/>
      <c r="F21" s="193"/>
      <c r="G21" s="193"/>
      <c r="H21" s="193"/>
      <c r="I21" s="264"/>
      <c r="J21" s="264"/>
      <c r="K21" s="264"/>
      <c r="L21" s="265"/>
      <c r="M21" s="265"/>
      <c r="N21" s="265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57"/>
      <c r="BF21" s="257"/>
      <c r="BG21" s="257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U21" s="266"/>
      <c r="BV21" s="266"/>
      <c r="BW21" s="266"/>
      <c r="BX21" s="266"/>
      <c r="BY21" s="266"/>
      <c r="BZ21" s="266"/>
      <c r="CA21" s="266"/>
      <c r="CB21" s="266"/>
      <c r="CC21" s="266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66"/>
      <c r="DD21" s="266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  <c r="EH21" s="257"/>
      <c r="EI21" s="257"/>
      <c r="EJ21" s="257"/>
      <c r="EK21" s="257"/>
      <c r="EL21" s="257"/>
      <c r="EM21" s="257"/>
      <c r="EN21" s="257"/>
      <c r="EO21" s="257"/>
      <c r="EP21" s="257"/>
      <c r="EQ21" s="257"/>
      <c r="ER21" s="257"/>
      <c r="ES21" s="257"/>
      <c r="ET21" s="257"/>
      <c r="EU21" s="257"/>
      <c r="EV21" s="257"/>
      <c r="EW21" s="257"/>
      <c r="EX21" s="257"/>
      <c r="EY21" s="257"/>
      <c r="EZ21" s="257"/>
      <c r="FA21" s="257"/>
      <c r="FB21" s="257"/>
      <c r="FC21" s="257"/>
      <c r="FD21" s="257"/>
      <c r="FE21" s="257"/>
      <c r="FF21" s="257"/>
      <c r="FG21" s="257"/>
      <c r="FH21" s="257"/>
      <c r="FI21" s="257"/>
      <c r="FJ21" s="257"/>
      <c r="FK21" s="257"/>
      <c r="FL21" s="257"/>
      <c r="FM21" s="257"/>
      <c r="FN21" s="257"/>
      <c r="FO21" s="257"/>
      <c r="FP21" s="257"/>
      <c r="FQ21" s="257"/>
      <c r="FR21" s="257"/>
      <c r="FS21" s="257"/>
      <c r="FT21" s="257"/>
      <c r="FU21" s="257"/>
      <c r="FV21" s="257"/>
      <c r="FW21" s="257"/>
      <c r="FX21" s="257"/>
      <c r="FY21" s="257"/>
      <c r="FZ21" s="257"/>
      <c r="GA21" s="257"/>
      <c r="GB21" s="266"/>
      <c r="GC21" s="257"/>
      <c r="GD21" s="257"/>
      <c r="GE21" s="257"/>
      <c r="GF21" s="257"/>
      <c r="GG21" s="257"/>
      <c r="GH21" s="257"/>
      <c r="GI21" s="257"/>
      <c r="GJ21" s="470"/>
      <c r="GK21" s="470"/>
      <c r="GL21" s="470"/>
      <c r="GM21" s="257"/>
      <c r="GN21" s="257"/>
      <c r="GO21" s="257"/>
      <c r="GP21" s="257"/>
      <c r="GQ21" s="257"/>
      <c r="GR21" s="257"/>
      <c r="GS21" s="257"/>
      <c r="GT21" s="257"/>
      <c r="GU21" s="257"/>
      <c r="GV21" s="257"/>
      <c r="GW21" s="257"/>
      <c r="GX21" s="257"/>
      <c r="GY21" s="257"/>
      <c r="GZ21" s="257"/>
      <c r="HA21" s="257"/>
      <c r="HB21" s="257"/>
      <c r="HC21" s="257"/>
      <c r="HD21" s="257"/>
      <c r="HE21" s="257"/>
      <c r="HF21" s="257"/>
      <c r="HG21" s="257"/>
      <c r="HH21" s="257"/>
      <c r="HI21" s="257"/>
      <c r="HJ21" s="257"/>
      <c r="HK21" s="257"/>
      <c r="HL21" s="257"/>
      <c r="HM21" s="257"/>
      <c r="HN21" s="257"/>
      <c r="HO21" s="257"/>
      <c r="HP21" s="257"/>
      <c r="HQ21" s="257"/>
      <c r="HR21" s="257"/>
      <c r="HS21" s="257"/>
      <c r="HT21" s="257"/>
      <c r="HU21" s="257"/>
      <c r="HV21" s="257"/>
      <c r="HW21" s="257"/>
      <c r="HX21" s="257"/>
      <c r="HY21" s="257"/>
      <c r="HZ21" s="257"/>
      <c r="IA21" s="257"/>
      <c r="IB21" s="257"/>
      <c r="IC21" s="257"/>
      <c r="ID21" s="257"/>
      <c r="IE21" s="257"/>
    </row>
    <row r="22" spans="1:266" ht="18" hidden="1" customHeight="1" x14ac:dyDescent="0.25">
      <c r="A22" s="192"/>
      <c r="B22" s="193" t="s">
        <v>248</v>
      </c>
      <c r="C22" s="193" t="s">
        <v>130</v>
      </c>
      <c r="D22" s="193">
        <f>21+11</f>
        <v>32</v>
      </c>
      <c r="E22" s="193">
        <f t="shared" ref="E22:H23" si="59">21+11</f>
        <v>32</v>
      </c>
      <c r="F22" s="193">
        <f t="shared" si="59"/>
        <v>32</v>
      </c>
      <c r="G22" s="193">
        <f t="shared" si="59"/>
        <v>32</v>
      </c>
      <c r="H22" s="193">
        <f t="shared" si="59"/>
        <v>32</v>
      </c>
      <c r="I22" s="264"/>
      <c r="J22" s="264"/>
      <c r="K22" s="264"/>
      <c r="L22" s="265"/>
      <c r="M22" s="265"/>
      <c r="N22" s="265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57"/>
      <c r="BF22" s="257"/>
      <c r="BG22" s="257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U22" s="266"/>
      <c r="BV22" s="266"/>
      <c r="BW22" s="266"/>
      <c r="BX22" s="266"/>
      <c r="BY22" s="266"/>
      <c r="BZ22" s="266"/>
      <c r="CA22" s="266"/>
      <c r="CB22" s="266"/>
      <c r="CC22" s="266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66"/>
      <c r="DD22" s="266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7"/>
      <c r="EC22" s="257"/>
      <c r="ED22" s="257"/>
      <c r="EE22" s="257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257"/>
      <c r="EW22" s="257"/>
      <c r="EX22" s="257"/>
      <c r="EY22" s="257"/>
      <c r="EZ22" s="257"/>
      <c r="FA22" s="257"/>
      <c r="FB22" s="257"/>
      <c r="FC22" s="257"/>
      <c r="FD22" s="257"/>
      <c r="FE22" s="257"/>
      <c r="FF22" s="257"/>
      <c r="FG22" s="257"/>
      <c r="FH22" s="257"/>
      <c r="FI22" s="257"/>
      <c r="FJ22" s="257"/>
      <c r="FK22" s="257"/>
      <c r="FL22" s="257"/>
      <c r="FM22" s="257"/>
      <c r="FN22" s="257"/>
      <c r="FO22" s="257"/>
      <c r="FP22" s="257"/>
      <c r="FQ22" s="257"/>
      <c r="FR22" s="257"/>
      <c r="FS22" s="257"/>
      <c r="FT22" s="257"/>
      <c r="FU22" s="257"/>
      <c r="FV22" s="257"/>
      <c r="FW22" s="257"/>
      <c r="FX22" s="257"/>
      <c r="FY22" s="257"/>
      <c r="FZ22" s="257"/>
      <c r="GA22" s="257"/>
      <c r="GB22" s="266"/>
      <c r="GC22" s="257"/>
      <c r="GD22" s="257"/>
      <c r="GE22" s="257"/>
      <c r="GF22" s="257"/>
      <c r="GG22" s="257"/>
      <c r="GH22" s="257"/>
      <c r="GI22" s="257"/>
      <c r="GJ22" s="470"/>
      <c r="GK22" s="470"/>
      <c r="GL22" s="470"/>
      <c r="GM22" s="257"/>
      <c r="GN22" s="257"/>
      <c r="GO22" s="257"/>
      <c r="GP22" s="257"/>
      <c r="GQ22" s="257"/>
      <c r="GR22" s="257"/>
      <c r="GS22" s="257"/>
      <c r="GT22" s="257"/>
      <c r="GU22" s="257"/>
      <c r="GV22" s="257"/>
      <c r="GW22" s="257"/>
      <c r="GX22" s="257"/>
      <c r="GY22" s="257"/>
      <c r="GZ22" s="257"/>
      <c r="HA22" s="257"/>
      <c r="HB22" s="257"/>
      <c r="HC22" s="257"/>
      <c r="HD22" s="257"/>
      <c r="HE22" s="257"/>
      <c r="HF22" s="257"/>
      <c r="HG22" s="257"/>
      <c r="HH22" s="257"/>
      <c r="HI22" s="257"/>
      <c r="HJ22" s="257"/>
      <c r="HK22" s="257"/>
      <c r="HL22" s="257"/>
      <c r="HM22" s="257"/>
      <c r="HN22" s="257"/>
      <c r="HO22" s="257"/>
      <c r="HP22" s="257"/>
      <c r="HQ22" s="257"/>
      <c r="HR22" s="257"/>
      <c r="HS22" s="257"/>
      <c r="HT22" s="257"/>
      <c r="HU22" s="257"/>
      <c r="HV22" s="257"/>
      <c r="HW22" s="257"/>
      <c r="HX22" s="257"/>
      <c r="HY22" s="257"/>
      <c r="HZ22" s="257"/>
      <c r="IA22" s="257"/>
      <c r="IB22" s="257"/>
      <c r="IC22" s="257"/>
      <c r="ID22" s="257"/>
      <c r="IE22" s="257"/>
    </row>
    <row r="23" spans="1:266" ht="13.95" hidden="1" customHeight="1" x14ac:dyDescent="0.25">
      <c r="A23" s="193"/>
      <c r="B23" s="193" t="s">
        <v>249</v>
      </c>
      <c r="C23" s="193" t="s">
        <v>130</v>
      </c>
      <c r="D23" s="193">
        <f>21+11</f>
        <v>32</v>
      </c>
      <c r="E23" s="193">
        <f t="shared" si="59"/>
        <v>32</v>
      </c>
      <c r="F23" s="193">
        <f t="shared" si="59"/>
        <v>32</v>
      </c>
      <c r="G23" s="193">
        <f t="shared" si="59"/>
        <v>32</v>
      </c>
      <c r="H23" s="193">
        <f t="shared" si="59"/>
        <v>32</v>
      </c>
      <c r="I23" s="264"/>
      <c r="J23" s="264"/>
      <c r="K23" s="264"/>
      <c r="L23" s="265">
        <f>J23</f>
        <v>0</v>
      </c>
      <c r="M23" s="265"/>
      <c r="N23" s="265">
        <f>L23</f>
        <v>0</v>
      </c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57"/>
      <c r="BF23" s="257"/>
      <c r="BG23" s="257"/>
      <c r="BH23" s="266"/>
      <c r="BI23" s="266"/>
      <c r="BJ23" s="266"/>
      <c r="BK23" s="266"/>
      <c r="BL23" s="266"/>
      <c r="BM23" s="266"/>
      <c r="BN23" s="266"/>
      <c r="BO23" s="266"/>
      <c r="BP23" s="266"/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6"/>
      <c r="CC23" s="266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66"/>
      <c r="DD23" s="266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  <c r="EG23" s="257"/>
      <c r="EH23" s="257"/>
      <c r="EI23" s="257"/>
      <c r="EJ23" s="257"/>
      <c r="EK23" s="257"/>
      <c r="EL23" s="257"/>
      <c r="EM23" s="257"/>
      <c r="EN23" s="257"/>
      <c r="EO23" s="257"/>
      <c r="EP23" s="257"/>
      <c r="EQ23" s="257"/>
      <c r="ER23" s="257"/>
      <c r="ES23" s="257"/>
      <c r="ET23" s="257"/>
      <c r="EU23" s="257"/>
      <c r="EV23" s="257"/>
      <c r="EW23" s="257"/>
      <c r="EX23" s="257"/>
      <c r="EY23" s="257"/>
      <c r="EZ23" s="257"/>
      <c r="FA23" s="257"/>
      <c r="FB23" s="257"/>
      <c r="FC23" s="257"/>
      <c r="FD23" s="257"/>
      <c r="FE23" s="257"/>
      <c r="FF23" s="257"/>
      <c r="FG23" s="257"/>
      <c r="FH23" s="257"/>
      <c r="FI23" s="257"/>
      <c r="FJ23" s="257"/>
      <c r="FK23" s="257"/>
      <c r="FL23" s="257"/>
      <c r="FM23" s="257"/>
      <c r="FN23" s="257"/>
      <c r="FO23" s="257"/>
      <c r="FP23" s="257"/>
      <c r="FQ23" s="257"/>
      <c r="FR23" s="257"/>
      <c r="FS23" s="257"/>
      <c r="FT23" s="257"/>
      <c r="FU23" s="257"/>
      <c r="FV23" s="257"/>
      <c r="FW23" s="257"/>
      <c r="FX23" s="257"/>
      <c r="FY23" s="257"/>
      <c r="FZ23" s="257"/>
      <c r="GA23" s="257"/>
      <c r="GB23" s="266"/>
      <c r="GC23" s="257"/>
      <c r="GD23" s="257"/>
      <c r="GE23" s="257"/>
      <c r="GF23" s="257"/>
      <c r="GG23" s="257"/>
      <c r="GH23" s="257"/>
      <c r="GI23" s="257"/>
      <c r="GJ23" s="470"/>
      <c r="GK23" s="470"/>
      <c r="GL23" s="470"/>
      <c r="GM23" s="257"/>
      <c r="GN23" s="257"/>
      <c r="GO23" s="257"/>
      <c r="GP23" s="257"/>
      <c r="GQ23" s="257"/>
      <c r="GR23" s="257"/>
      <c r="GS23" s="257"/>
      <c r="GT23" s="257"/>
      <c r="GU23" s="257"/>
      <c r="GV23" s="257"/>
      <c r="GW23" s="257"/>
      <c r="GX23" s="257"/>
      <c r="GY23" s="257"/>
      <c r="GZ23" s="257"/>
      <c r="HA23" s="257"/>
      <c r="HB23" s="257"/>
      <c r="HC23" s="257"/>
      <c r="HD23" s="257"/>
      <c r="HE23" s="257"/>
      <c r="HF23" s="257"/>
      <c r="HG23" s="257"/>
      <c r="HH23" s="257"/>
      <c r="HI23" s="257"/>
      <c r="HJ23" s="257"/>
      <c r="HK23" s="257"/>
      <c r="HL23" s="257"/>
      <c r="HM23" s="257"/>
      <c r="HN23" s="257"/>
      <c r="HO23" s="257"/>
      <c r="HP23" s="257"/>
      <c r="HQ23" s="257"/>
      <c r="HR23" s="257"/>
      <c r="HS23" s="257"/>
      <c r="HT23" s="257"/>
      <c r="HU23" s="257"/>
      <c r="HV23" s="257"/>
      <c r="HW23" s="257"/>
      <c r="HX23" s="257"/>
      <c r="HY23" s="257"/>
      <c r="HZ23" s="257"/>
      <c r="IA23" s="257"/>
      <c r="IB23" s="257"/>
      <c r="IC23" s="257"/>
      <c r="ID23" s="257"/>
      <c r="IE23" s="257"/>
    </row>
    <row r="24" spans="1:266" ht="23.4" customHeight="1" x14ac:dyDescent="0.25">
      <c r="A24" s="936" t="s">
        <v>250</v>
      </c>
      <c r="B24" s="937"/>
      <c r="C24" s="938"/>
      <c r="D24" s="193"/>
      <c r="E24" s="193"/>
      <c r="F24" s="193"/>
      <c r="G24" s="193"/>
      <c r="H24" s="193"/>
      <c r="I24" s="264"/>
      <c r="J24" s="227">
        <f>J17+J19</f>
        <v>56558500</v>
      </c>
      <c r="K24" s="227"/>
      <c r="L24" s="267">
        <f>L17+L19</f>
        <v>56558500</v>
      </c>
      <c r="M24" s="227"/>
      <c r="N24" s="267">
        <f>N17+N19</f>
        <v>56558500</v>
      </c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726"/>
      <c r="BF24" s="507"/>
      <c r="BG24" s="507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507"/>
      <c r="CE24" s="507"/>
      <c r="CF24" s="507"/>
      <c r="CG24" s="507"/>
      <c r="CH24" s="507"/>
      <c r="CI24" s="507"/>
      <c r="CJ24" s="507"/>
      <c r="CK24" s="507"/>
      <c r="CL24" s="507"/>
      <c r="CM24" s="216"/>
      <c r="CN24" s="216"/>
      <c r="CO24" s="216"/>
      <c r="CP24" s="507"/>
      <c r="CQ24" s="507"/>
      <c r="CR24" s="507"/>
      <c r="CS24" s="507"/>
      <c r="CT24" s="525" t="s">
        <v>386</v>
      </c>
      <c r="CU24" s="525" t="e">
        <f>CU19+CV17</f>
        <v>#REF!</v>
      </c>
      <c r="CV24" s="507"/>
      <c r="CW24" s="507"/>
      <c r="CX24" s="507"/>
      <c r="CY24" s="507"/>
      <c r="CZ24" s="507"/>
      <c r="DA24" s="507"/>
      <c r="DB24" s="507"/>
      <c r="DC24" s="268"/>
      <c r="DD24" s="254"/>
      <c r="DE24" s="507"/>
      <c r="DF24" s="507"/>
      <c r="DG24" s="216"/>
      <c r="DH24" s="216"/>
      <c r="DI24" s="507"/>
      <c r="DJ24" s="507"/>
      <c r="DK24" s="507"/>
      <c r="DL24" s="507"/>
      <c r="DM24" s="507"/>
      <c r="DN24" s="507"/>
      <c r="DO24" s="507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 t="s">
        <v>429</v>
      </c>
      <c r="ET24" s="216" t="s">
        <v>430</v>
      </c>
      <c r="EU24" s="216"/>
      <c r="EV24" s="216" t="s">
        <v>431</v>
      </c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507"/>
      <c r="FX24" s="507"/>
      <c r="FY24" s="507"/>
      <c r="FZ24" s="507"/>
      <c r="GA24" s="507"/>
      <c r="GB24" s="268"/>
      <c r="GC24" s="464"/>
      <c r="GD24" s="465" t="e">
        <f>#REF!+GD19</f>
        <v>#REF!</v>
      </c>
      <c r="GE24" s="465" t="e">
        <f>#REF!+GE19</f>
        <v>#REF!</v>
      </c>
      <c r="GF24" s="271"/>
      <c r="GG24" s="271"/>
      <c r="GH24" s="177" t="s">
        <v>325</v>
      </c>
      <c r="GI24" s="177" t="e">
        <f>GH18-GI18</f>
        <v>#REF!</v>
      </c>
      <c r="GJ24" s="470" t="s">
        <v>327</v>
      </c>
      <c r="GK24" s="471">
        <v>2088</v>
      </c>
      <c r="GL24" s="471">
        <v>2088</v>
      </c>
      <c r="GM24" s="459"/>
      <c r="GN24" s="271"/>
      <c r="GO24" s="271"/>
      <c r="GP24" s="271"/>
      <c r="GQ24" s="271"/>
      <c r="GR24" s="271"/>
      <c r="GS24" s="271"/>
      <c r="GT24" s="271"/>
      <c r="GU24" s="271"/>
      <c r="GV24" s="269"/>
      <c r="GW24" s="269"/>
      <c r="GX24" s="271"/>
      <c r="GY24" s="271"/>
      <c r="GZ24" s="271"/>
      <c r="HA24" s="271"/>
      <c r="HB24" s="271"/>
      <c r="HC24" s="271"/>
      <c r="HD24" s="271"/>
      <c r="HE24" s="271"/>
      <c r="HF24" s="271"/>
      <c r="HG24" s="271"/>
      <c r="HH24" s="271"/>
      <c r="HI24" s="271"/>
      <c r="HJ24" s="271"/>
      <c r="HK24" s="271"/>
      <c r="HL24" s="271"/>
      <c r="HM24" s="271"/>
      <c r="HN24" s="271"/>
      <c r="HO24" s="271"/>
      <c r="HP24" s="271"/>
      <c r="HQ24" s="271"/>
      <c r="HR24" s="271"/>
      <c r="HS24" s="271"/>
      <c r="HT24" s="271"/>
      <c r="HU24" s="271"/>
      <c r="HV24" s="271"/>
      <c r="HW24" s="271"/>
      <c r="HX24" s="271"/>
      <c r="HY24" s="271"/>
      <c r="HZ24" s="271"/>
      <c r="IA24" s="271"/>
      <c r="IB24" s="271"/>
      <c r="IC24" s="271"/>
      <c r="ID24" s="271"/>
      <c r="IE24" s="271"/>
      <c r="IF24" s="25"/>
      <c r="II24" s="210">
        <v>37024596.810000002</v>
      </c>
      <c r="IJ24" s="211"/>
      <c r="IK24" s="210">
        <v>37571922.359999999</v>
      </c>
      <c r="IL24" s="211"/>
      <c r="IM24" s="237">
        <v>39305388.359999999</v>
      </c>
      <c r="IN24" s="252">
        <v>37024600</v>
      </c>
      <c r="IO24" s="211"/>
      <c r="IP24" s="211"/>
      <c r="IQ24" s="211"/>
      <c r="IR24" s="211"/>
      <c r="IS24" s="211"/>
    </row>
    <row r="25" spans="1:266" ht="14.4" customHeight="1" x14ac:dyDescent="0.25">
      <c r="J25" s="25"/>
      <c r="K25" s="25"/>
      <c r="BE25" s="250"/>
      <c r="BF25" s="258"/>
      <c r="BG25" s="259"/>
      <c r="CD25" s="259"/>
      <c r="CE25" s="259"/>
      <c r="CF25" s="259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CR25" s="259"/>
      <c r="CS25" s="259"/>
      <c r="CT25" s="259"/>
      <c r="CU25" s="496" t="e">
        <f>CU18+#REF!+DA17</f>
        <v>#REF!</v>
      </c>
      <c r="CV25" s="259"/>
      <c r="CW25" s="259"/>
      <c r="CX25" s="259"/>
      <c r="CY25" s="259"/>
      <c r="CZ25" s="259"/>
      <c r="DA25" s="259"/>
      <c r="DB25" s="259"/>
      <c r="DE25" s="259"/>
      <c r="DF25" s="259"/>
      <c r="DG25" s="259"/>
      <c r="DH25" s="496"/>
      <c r="DI25" s="259"/>
      <c r="DJ25" s="259"/>
      <c r="DK25" s="259"/>
      <c r="DL25" s="259"/>
      <c r="DM25" s="259"/>
      <c r="DN25" s="259"/>
      <c r="DO25" s="259"/>
      <c r="DP25" s="259"/>
      <c r="DQ25" s="259"/>
      <c r="DR25" s="259"/>
      <c r="DS25" s="259"/>
      <c r="DT25" s="259"/>
      <c r="DU25" s="259"/>
      <c r="DV25" s="259"/>
      <c r="DW25" s="259"/>
      <c r="DX25" s="259"/>
      <c r="DY25" s="259"/>
      <c r="DZ25" s="259"/>
      <c r="EA25" s="259"/>
      <c r="EB25" s="259"/>
      <c r="EC25" s="259"/>
      <c r="ED25" s="259"/>
      <c r="EE25" s="259"/>
      <c r="EF25" s="259"/>
      <c r="EG25" s="259"/>
      <c r="EH25" s="259"/>
      <c r="EI25" s="259"/>
      <c r="EJ25" s="259"/>
      <c r="EK25" s="259"/>
      <c r="EL25" s="259"/>
      <c r="EM25" s="259"/>
      <c r="EN25" s="259"/>
      <c r="EO25" s="259"/>
      <c r="EP25" s="259"/>
      <c r="EQ25" s="259"/>
      <c r="ER25" s="259"/>
      <c r="ES25" s="258">
        <v>45830885.5</v>
      </c>
      <c r="ET25" s="258">
        <v>40412500</v>
      </c>
      <c r="EU25" s="258">
        <f>ES25-ET25</f>
        <v>5418385.5</v>
      </c>
      <c r="EV25" s="181">
        <v>104880</v>
      </c>
      <c r="EW25" s="259">
        <f>EU25/EV25</f>
        <v>51.662714530892451</v>
      </c>
      <c r="EX25" s="259"/>
      <c r="EY25" s="259"/>
      <c r="EZ25" s="259"/>
      <c r="FA25" s="259"/>
      <c r="FB25" s="259"/>
      <c r="FC25" s="259"/>
      <c r="FD25" s="259"/>
      <c r="FE25" s="259"/>
      <c r="FF25" s="259"/>
      <c r="FG25" s="259"/>
      <c r="FH25" s="259"/>
      <c r="FI25" s="259"/>
      <c r="FJ25" s="259"/>
      <c r="FK25" s="259"/>
      <c r="FL25" s="259"/>
      <c r="FM25" s="259"/>
      <c r="FN25" s="259"/>
      <c r="FO25" s="259"/>
      <c r="FP25" s="259"/>
      <c r="FQ25" s="259"/>
      <c r="FR25" s="259"/>
      <c r="FS25" s="259"/>
      <c r="FT25" s="259"/>
      <c r="FU25" s="259"/>
      <c r="FV25" s="259"/>
      <c r="FW25" s="259"/>
      <c r="FX25" s="259"/>
      <c r="FY25" s="259"/>
      <c r="FZ25" s="259"/>
      <c r="GA25" s="259"/>
      <c r="GF25" s="259"/>
      <c r="GH25" s="272"/>
      <c r="GI25" s="272"/>
      <c r="GJ25" s="472" t="s">
        <v>328</v>
      </c>
      <c r="GK25" s="473">
        <v>4320</v>
      </c>
      <c r="GL25" s="473">
        <v>3384</v>
      </c>
      <c r="GM25" s="460"/>
      <c r="GN25" s="272"/>
      <c r="GO25" s="272"/>
      <c r="GP25" s="272"/>
      <c r="GQ25" s="272"/>
      <c r="GR25" s="272"/>
      <c r="GS25" s="272"/>
      <c r="GT25" s="272"/>
      <c r="GU25" s="272"/>
      <c r="GV25" s="272" t="s">
        <v>213</v>
      </c>
      <c r="GW25" s="272" t="s">
        <v>214</v>
      </c>
      <c r="GX25" s="272" t="s">
        <v>215</v>
      </c>
      <c r="GY25" s="272"/>
      <c r="GZ25" s="272"/>
      <c r="HA25" s="272"/>
      <c r="HB25" s="272"/>
      <c r="HC25" s="272"/>
      <c r="HD25" s="272"/>
      <c r="HE25" s="272"/>
      <c r="HF25" s="272"/>
      <c r="HG25" s="272"/>
      <c r="HH25" s="272"/>
      <c r="HI25" s="272"/>
      <c r="HJ25" s="272"/>
      <c r="HK25" s="272"/>
      <c r="HL25" s="272"/>
      <c r="HM25" s="272"/>
      <c r="HN25" s="272"/>
      <c r="HO25" s="272"/>
      <c r="HP25" s="272"/>
      <c r="HQ25" s="272"/>
      <c r="HR25" s="272"/>
      <c r="HS25" s="272"/>
      <c r="HT25" s="272"/>
      <c r="HU25" s="272"/>
      <c r="HV25" s="272"/>
      <c r="HW25" s="272"/>
      <c r="HX25" s="272"/>
      <c r="HY25" s="272"/>
      <c r="HZ25" s="272"/>
      <c r="IA25" s="272"/>
      <c r="IB25" s="272"/>
      <c r="IC25" s="272"/>
      <c r="ID25" s="272"/>
      <c r="IE25" s="208"/>
      <c r="IL25" s="273" t="s">
        <v>239</v>
      </c>
      <c r="IM25" s="211">
        <v>8889750.3599999994</v>
      </c>
      <c r="IN25" s="211">
        <v>0</v>
      </c>
    </row>
    <row r="26" spans="1:266" ht="12" customHeight="1" x14ac:dyDescent="0.25">
      <c r="D26" s="30"/>
      <c r="G26" s="30"/>
      <c r="H26" s="30"/>
      <c r="J26" s="25"/>
      <c r="K26" s="25"/>
      <c r="AQ26" s="259"/>
      <c r="AR26" s="259"/>
      <c r="CD26" s="259"/>
      <c r="CE26" s="259"/>
      <c r="CF26" s="259"/>
      <c r="CG26" s="259"/>
      <c r="CH26" s="259"/>
      <c r="CI26" s="259"/>
      <c r="CJ26" s="259"/>
      <c r="CK26" s="259"/>
      <c r="CL26" s="259"/>
      <c r="CM26" s="259"/>
      <c r="CN26" s="259"/>
      <c r="CO26" s="259"/>
      <c r="CP26" s="259"/>
      <c r="CQ26" s="259"/>
      <c r="CR26" s="259"/>
      <c r="CS26" s="259"/>
      <c r="CT26" s="259"/>
      <c r="CU26" s="259"/>
      <c r="CV26" s="259"/>
      <c r="CW26" s="259"/>
      <c r="CX26" s="259"/>
      <c r="CY26" s="259"/>
      <c r="CZ26" s="259"/>
      <c r="DA26" s="259"/>
      <c r="DB26" s="259"/>
      <c r="ES26" s="258"/>
      <c r="GF26" s="259"/>
      <c r="GG26" s="259"/>
      <c r="GH26" s="216">
        <v>10745500</v>
      </c>
      <c r="GI26" s="164"/>
      <c r="GJ26" s="474"/>
      <c r="GK26" s="475">
        <f>SUM(GK24:GK25)</f>
        <v>6408</v>
      </c>
      <c r="GL26" s="475">
        <f>SUM(GL24:GL25)</f>
        <v>5472</v>
      </c>
      <c r="GM26" s="276"/>
      <c r="GN26" s="276"/>
      <c r="GO26" s="276"/>
      <c r="GP26" s="276"/>
      <c r="GQ26" s="276"/>
      <c r="GR26" s="276"/>
      <c r="GS26" s="276"/>
      <c r="GT26" s="276"/>
      <c r="GU26" s="276"/>
      <c r="GV26" s="275" t="s">
        <v>253</v>
      </c>
      <c r="GW26" s="275" t="s">
        <v>253</v>
      </c>
      <c r="GX26" s="275" t="s">
        <v>253</v>
      </c>
      <c r="GY26" s="276"/>
      <c r="GZ26" s="276"/>
      <c r="HA26" s="276"/>
      <c r="HB26" s="276"/>
      <c r="HC26" s="276"/>
      <c r="HD26" s="276"/>
      <c r="HE26" s="276"/>
      <c r="HF26" s="276"/>
      <c r="HG26" s="276"/>
      <c r="HH26" s="276"/>
      <c r="HI26" s="276"/>
      <c r="HJ26" s="276"/>
      <c r="HK26" s="276"/>
      <c r="HL26" s="276"/>
      <c r="HM26" s="276"/>
      <c r="HN26" s="276"/>
      <c r="HO26" s="276"/>
      <c r="HP26" s="276"/>
      <c r="HQ26" s="276"/>
      <c r="HR26" s="276"/>
      <c r="HS26" s="276"/>
      <c r="HT26" s="276"/>
      <c r="HU26" s="276"/>
      <c r="HV26" s="276"/>
      <c r="HW26" s="276"/>
      <c r="HX26" s="276"/>
      <c r="HY26" s="276"/>
      <c r="HZ26" s="276"/>
      <c r="IA26" s="276"/>
      <c r="IB26" s="276"/>
      <c r="IC26" s="276"/>
      <c r="ID26" s="276"/>
      <c r="IL26" s="273" t="s">
        <v>254</v>
      </c>
      <c r="IM26" s="211">
        <v>4943157.2</v>
      </c>
      <c r="IN26" s="211">
        <v>4943157.2</v>
      </c>
    </row>
    <row r="27" spans="1:266" ht="16.2" customHeight="1" x14ac:dyDescent="0.25">
      <c r="J27" s="25"/>
      <c r="K27" s="25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483"/>
      <c r="AR27" s="483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483"/>
      <c r="CE27" s="483"/>
      <c r="CF27" s="483"/>
      <c r="CG27" s="483"/>
      <c r="CH27" s="483"/>
      <c r="CI27" s="483"/>
      <c r="CJ27" s="483"/>
      <c r="CK27" s="483"/>
      <c r="CL27" s="483"/>
      <c r="CM27" s="259"/>
      <c r="CN27" s="259"/>
      <c r="CO27" s="259"/>
      <c r="CP27" s="483"/>
      <c r="CQ27" s="483"/>
      <c r="CR27" s="483"/>
      <c r="CS27" s="483"/>
      <c r="CT27" s="483"/>
      <c r="CU27" s="483"/>
      <c r="CV27" s="483"/>
      <c r="CW27" s="483"/>
      <c r="CX27" s="483"/>
      <c r="CY27" s="483"/>
      <c r="CZ27" s="483"/>
      <c r="DA27" s="483"/>
      <c r="DB27" s="483"/>
      <c r="DC27" s="2"/>
      <c r="DJ27" s="2"/>
      <c r="DK27" s="2"/>
      <c r="DL27" s="2"/>
      <c r="DM27" s="2"/>
      <c r="DN27" s="2"/>
      <c r="DO27" s="2"/>
      <c r="ES27" s="258"/>
      <c r="FW27" s="2"/>
      <c r="FX27" s="2"/>
      <c r="GD27" s="259"/>
      <c r="GE27" s="259"/>
      <c r="GF27" s="259"/>
      <c r="GG27" s="259"/>
      <c r="GH27" s="216">
        <v>4334708.4000000004</v>
      </c>
      <c r="GI27" s="216"/>
      <c r="GJ27" s="216"/>
      <c r="GK27" s="469"/>
      <c r="GL27" s="279"/>
      <c r="GM27" s="279"/>
      <c r="GN27" s="279"/>
      <c r="GO27" s="279"/>
      <c r="GP27" s="279"/>
      <c r="GQ27" s="279"/>
      <c r="GR27" s="279"/>
      <c r="GS27" s="279"/>
      <c r="GT27" s="279"/>
      <c r="GU27" s="279"/>
      <c r="GV27" s="277">
        <v>31653700</v>
      </c>
      <c r="GW27" s="277">
        <v>31632000</v>
      </c>
      <c r="GX27" s="277">
        <v>31632000</v>
      </c>
      <c r="GY27" s="278" t="s">
        <v>255</v>
      </c>
      <c r="GZ27" s="279"/>
      <c r="HA27" s="279"/>
      <c r="HB27" s="279"/>
      <c r="HC27" s="279"/>
      <c r="HD27" s="279"/>
      <c r="HE27" s="279"/>
      <c r="HF27" s="279"/>
      <c r="HG27" s="279"/>
      <c r="HH27" s="279"/>
      <c r="HI27" s="279"/>
      <c r="HJ27" s="279"/>
      <c r="HK27" s="279"/>
      <c r="HL27" s="279"/>
      <c r="HM27" s="279"/>
      <c r="HN27" s="279"/>
      <c r="HO27" s="279"/>
      <c r="HP27" s="279"/>
      <c r="HQ27" s="279"/>
      <c r="HR27" s="279"/>
      <c r="HS27" s="279"/>
      <c r="HT27" s="279"/>
      <c r="HU27" s="279"/>
      <c r="HV27" s="279"/>
      <c r="HW27" s="279"/>
      <c r="HX27" s="279"/>
      <c r="HY27" s="279"/>
      <c r="HZ27" s="279"/>
      <c r="IA27" s="279"/>
      <c r="IB27" s="279"/>
      <c r="IC27" s="279"/>
      <c r="ID27" s="279"/>
      <c r="IE27" s="2"/>
      <c r="IL27" s="280" t="s">
        <v>256</v>
      </c>
      <c r="IM27" s="281">
        <f>IM24-IM25-IM26</f>
        <v>25472480.800000001</v>
      </c>
      <c r="IN27" s="272">
        <f>IN24-IN25-IN26</f>
        <v>32081442.800000001</v>
      </c>
      <c r="IO27" s="258">
        <f>IN27-IM27</f>
        <v>6608962</v>
      </c>
      <c r="IP27" s="258"/>
      <c r="IQ27" s="258"/>
      <c r="IR27" s="258"/>
    </row>
    <row r="28" spans="1:266" x14ac:dyDescent="0.25">
      <c r="A28" s="1" t="s">
        <v>258</v>
      </c>
      <c r="J28" s="258"/>
      <c r="K28" s="258"/>
      <c r="AQ28" s="675"/>
      <c r="AR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59"/>
      <c r="CN28" s="259"/>
      <c r="CO28" s="259"/>
      <c r="CP28" s="259"/>
      <c r="CQ28" s="259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59"/>
      <c r="GD28" s="259"/>
      <c r="GE28" s="259"/>
      <c r="GF28" s="259"/>
      <c r="GG28" s="259"/>
      <c r="GH28" s="468">
        <f>SUM(GH26:GH27)</f>
        <v>15080208.4</v>
      </c>
      <c r="GI28" s="250" t="e">
        <f>GH28/#REF!</f>
        <v>#REF!</v>
      </c>
      <c r="GJ28" s="250" t="s">
        <v>331</v>
      </c>
      <c r="GK28" s="249"/>
      <c r="GL28" s="249"/>
      <c r="GM28" s="249"/>
      <c r="GN28" s="249"/>
      <c r="GO28" s="249"/>
      <c r="GP28" s="249"/>
      <c r="GQ28" s="249"/>
      <c r="GR28" s="249"/>
      <c r="GS28" s="249"/>
      <c r="GT28" s="249"/>
      <c r="GU28" s="249"/>
      <c r="GV28" s="211"/>
      <c r="GW28" s="211"/>
      <c r="GX28" s="249"/>
      <c r="GY28" s="249"/>
      <c r="GZ28" s="249"/>
      <c r="HA28" s="249"/>
      <c r="HB28" s="249"/>
      <c r="HC28" s="249"/>
      <c r="HD28" s="249"/>
      <c r="HE28" s="249"/>
      <c r="HF28" s="249"/>
      <c r="HG28" s="249"/>
      <c r="HH28" s="249"/>
      <c r="HI28" s="249"/>
      <c r="HJ28" s="249"/>
      <c r="HK28" s="249"/>
      <c r="HL28" s="249"/>
      <c r="HM28" s="249"/>
      <c r="HN28" s="249"/>
      <c r="HO28" s="249"/>
      <c r="HP28" s="249"/>
      <c r="HQ28" s="249"/>
      <c r="HR28" s="249"/>
      <c r="HS28" s="249"/>
      <c r="HT28" s="249"/>
      <c r="HU28" s="249"/>
      <c r="HV28" s="249"/>
      <c r="HW28" s="249"/>
      <c r="HX28" s="249"/>
      <c r="HY28" s="249"/>
      <c r="HZ28" s="249"/>
      <c r="IA28" s="249"/>
      <c r="IB28" s="249"/>
      <c r="IC28" s="249"/>
      <c r="ID28" s="249"/>
      <c r="IF28" s="25"/>
      <c r="IM28" s="259"/>
      <c r="IN28" s="258"/>
      <c r="IO28" s="284">
        <f>IO27/6</f>
        <v>1101493.6666666667</v>
      </c>
      <c r="IP28" s="284"/>
      <c r="IQ28" s="284"/>
      <c r="IR28" s="285"/>
    </row>
    <row r="29" spans="1:266" ht="16.2" customHeight="1" x14ac:dyDescent="0.25">
      <c r="A29" s="1" t="s">
        <v>77</v>
      </c>
      <c r="J29" s="25"/>
      <c r="K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03" t="e">
        <f>#REF!</f>
        <v>#REF!</v>
      </c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497"/>
      <c r="AR29" s="258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8"/>
      <c r="CE29" s="258"/>
      <c r="CF29" s="258"/>
      <c r="CG29" s="258"/>
      <c r="CH29" s="258"/>
      <c r="CI29" s="258"/>
      <c r="CJ29" s="258"/>
      <c r="CK29" s="258"/>
      <c r="CL29" s="258"/>
      <c r="CM29" s="258"/>
      <c r="CN29" s="258"/>
      <c r="CO29" s="258"/>
      <c r="CP29" s="258"/>
      <c r="CQ29" s="258"/>
      <c r="CR29" s="258"/>
      <c r="CS29" s="258"/>
      <c r="CT29" s="258"/>
      <c r="CU29" s="258"/>
      <c r="CV29" s="258"/>
      <c r="CW29" s="258"/>
      <c r="CX29" s="258"/>
      <c r="CY29" s="258"/>
      <c r="CZ29" s="258"/>
      <c r="DA29" s="258"/>
      <c r="DB29" s="258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GD29" s="259"/>
      <c r="GE29" s="259"/>
      <c r="GF29" s="259"/>
      <c r="GG29" s="259"/>
      <c r="GH29" s="250"/>
      <c r="GI29" s="250"/>
      <c r="GJ29" s="250"/>
      <c r="GK29" s="249"/>
      <c r="GL29" s="249"/>
      <c r="GM29" s="249"/>
      <c r="GN29" s="249"/>
      <c r="GO29" s="249"/>
      <c r="GP29" s="249"/>
      <c r="GQ29" s="249"/>
      <c r="GR29" s="249"/>
      <c r="GS29" s="249"/>
      <c r="GT29" s="249"/>
      <c r="GU29" s="249"/>
      <c r="GV29" s="258">
        <f>GS29-GR29</f>
        <v>0</v>
      </c>
      <c r="GW29" s="250">
        <f>GV29/6</f>
        <v>0</v>
      </c>
      <c r="GX29" s="250">
        <v>10487860.560000001</v>
      </c>
      <c r="GY29" s="250">
        <f>(GS29-GX29)/6</f>
        <v>-1747976.76</v>
      </c>
      <c r="GZ29" s="249"/>
      <c r="HA29" s="249"/>
      <c r="HB29" s="249"/>
      <c r="HC29" s="249"/>
      <c r="HD29" s="249"/>
      <c r="HE29" s="249"/>
      <c r="HF29" s="249"/>
      <c r="HG29" s="249"/>
      <c r="HH29" s="249"/>
      <c r="HI29" s="249"/>
      <c r="HJ29" s="249"/>
      <c r="HK29" s="249"/>
      <c r="HL29" s="249"/>
      <c r="HM29" s="249"/>
      <c r="HN29" s="249"/>
      <c r="HO29" s="249"/>
      <c r="HP29" s="249"/>
      <c r="HQ29" s="249"/>
      <c r="HR29" s="249"/>
      <c r="HS29" s="249"/>
      <c r="HT29" s="249"/>
      <c r="HU29" s="249"/>
      <c r="HV29" s="249"/>
      <c r="HW29" s="249"/>
      <c r="HX29" s="249"/>
      <c r="HY29" s="249"/>
      <c r="HZ29" s="249"/>
      <c r="IA29" s="249"/>
      <c r="IB29" s="249"/>
      <c r="IC29" s="249"/>
      <c r="ID29" s="249"/>
      <c r="IE29" s="25"/>
      <c r="IF29" s="25"/>
      <c r="IM29" s="181" t="s">
        <v>244</v>
      </c>
    </row>
    <row r="30" spans="1:266" ht="14.4" customHeight="1" x14ac:dyDescent="0.25"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03">
        <f>S18</f>
        <v>767455.34</v>
      </c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GD30" s="259"/>
      <c r="GE30" s="259"/>
      <c r="GF30" s="259"/>
      <c r="GG30" s="259">
        <v>14349678.640000001</v>
      </c>
      <c r="GH30" s="250" t="e">
        <f>#REF!</f>
        <v>#REF!</v>
      </c>
      <c r="GI30" s="250"/>
      <c r="GJ30" s="250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59"/>
      <c r="GW30" s="249"/>
      <c r="GX30" s="287">
        <v>10488531.6</v>
      </c>
      <c r="GY30" s="287">
        <f>(GS29-GX30)/6</f>
        <v>-1748088.5999999999</v>
      </c>
      <c r="GZ30" s="249"/>
      <c r="HA30" s="249"/>
      <c r="HB30" s="249"/>
      <c r="HC30" s="249"/>
      <c r="HD30" s="249"/>
      <c r="HE30" s="249"/>
      <c r="HF30" s="249"/>
      <c r="HG30" s="249"/>
      <c r="HH30" s="249"/>
      <c r="HI30" s="249"/>
      <c r="HJ30" s="249"/>
      <c r="HK30" s="249"/>
      <c r="HL30" s="249"/>
      <c r="HM30" s="249"/>
      <c r="HN30" s="249"/>
      <c r="HO30" s="249"/>
      <c r="HP30" s="249"/>
      <c r="HQ30" s="249"/>
      <c r="HR30" s="249"/>
      <c r="HS30" s="249"/>
      <c r="HT30" s="249"/>
      <c r="HU30" s="249"/>
      <c r="HV30" s="249"/>
      <c r="HW30" s="249"/>
      <c r="HX30" s="249"/>
      <c r="HY30" s="249"/>
      <c r="HZ30" s="249"/>
      <c r="IA30" s="249"/>
      <c r="IB30" s="249"/>
      <c r="IC30" s="249"/>
      <c r="ID30" s="249"/>
      <c r="IE30" s="25"/>
      <c r="IM30" s="288" t="s">
        <v>261</v>
      </c>
    </row>
    <row r="31" spans="1:266" hidden="1" x14ac:dyDescent="0.25">
      <c r="J31" s="25"/>
      <c r="K31" s="25"/>
      <c r="L31" s="25">
        <f>35157010-1681098</f>
        <v>33475912</v>
      </c>
      <c r="M31" s="36"/>
      <c r="N31" s="36">
        <f>38356010-1834064</f>
        <v>36521946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GD31" s="259"/>
      <c r="GE31" s="259"/>
      <c r="GF31" s="259"/>
      <c r="GG31" s="258">
        <f>GH28-GG30</f>
        <v>730529.75999999978</v>
      </c>
      <c r="GH31" s="272" t="e">
        <f>GH28-GH30</f>
        <v>#REF!</v>
      </c>
      <c r="GI31" s="460" t="e">
        <f>GH31/GK26</f>
        <v>#REF!</v>
      </c>
      <c r="GJ31" s="272"/>
      <c r="GK31" s="272"/>
      <c r="GL31" s="272"/>
      <c r="GM31" s="272"/>
      <c r="GN31" s="272"/>
      <c r="GO31" s="272"/>
      <c r="GP31" s="272"/>
      <c r="GQ31" s="272"/>
      <c r="GR31" s="272"/>
      <c r="GS31" s="272"/>
      <c r="GT31" s="272"/>
      <c r="GU31" s="272"/>
      <c r="GV31" s="258"/>
      <c r="GW31" s="272" t="s">
        <v>213</v>
      </c>
      <c r="GX31" s="272" t="s">
        <v>214</v>
      </c>
      <c r="GY31" s="272"/>
      <c r="GZ31" s="272"/>
      <c r="HA31" s="272"/>
      <c r="HB31" s="272"/>
      <c r="HC31" s="272"/>
      <c r="HD31" s="272"/>
      <c r="HE31" s="272"/>
      <c r="HF31" s="272"/>
      <c r="HG31" s="272"/>
      <c r="HH31" s="272"/>
      <c r="HI31" s="272"/>
      <c r="HJ31" s="272"/>
      <c r="HK31" s="272"/>
      <c r="HL31" s="272"/>
      <c r="HM31" s="272"/>
      <c r="HN31" s="272"/>
      <c r="HO31" s="272"/>
      <c r="HP31" s="272"/>
      <c r="HQ31" s="272"/>
      <c r="HR31" s="272"/>
      <c r="HS31" s="272"/>
      <c r="HT31" s="272"/>
      <c r="HU31" s="272"/>
      <c r="HV31" s="272"/>
      <c r="HW31" s="272"/>
      <c r="HX31" s="272"/>
      <c r="HY31" s="272"/>
      <c r="HZ31" s="272"/>
      <c r="IA31" s="272"/>
      <c r="IB31" s="272"/>
      <c r="IC31" s="272"/>
      <c r="ID31" s="272"/>
      <c r="IE31" s="25"/>
      <c r="IM31" s="237">
        <v>39373588.359999999</v>
      </c>
    </row>
    <row r="32" spans="1:266" ht="16.95" hidden="1" customHeight="1" x14ac:dyDescent="0.25">
      <c r="J32" s="25"/>
      <c r="K32" s="25"/>
      <c r="M32" s="258"/>
      <c r="N32" s="258"/>
      <c r="CD32" s="259"/>
      <c r="CE32" s="259"/>
      <c r="CF32" s="259"/>
      <c r="CG32" s="259"/>
      <c r="CH32" s="259"/>
      <c r="CI32" s="259"/>
      <c r="CJ32" s="259"/>
      <c r="CK32" s="259"/>
      <c r="CL32" s="259"/>
      <c r="CM32" s="259"/>
      <c r="CN32" s="259"/>
      <c r="CO32" s="259"/>
      <c r="CP32" s="259"/>
      <c r="CQ32" s="259"/>
      <c r="CR32" s="259"/>
      <c r="CS32" s="259"/>
      <c r="CT32" s="259"/>
      <c r="CU32" s="259"/>
      <c r="CV32" s="259"/>
      <c r="CW32" s="259"/>
      <c r="CX32" s="259"/>
      <c r="CY32" s="259"/>
      <c r="CZ32" s="259"/>
      <c r="DA32" s="259"/>
      <c r="DB32" s="259"/>
      <c r="GD32" s="259"/>
      <c r="GE32" s="259"/>
      <c r="GF32" s="259"/>
      <c r="GG32" s="259" t="e">
        <f>GG31/#REF!</f>
        <v>#REF!</v>
      </c>
      <c r="GH32" s="164"/>
      <c r="GI32" s="164"/>
      <c r="GJ32" s="164"/>
      <c r="GK32" s="164"/>
      <c r="GL32" s="164"/>
      <c r="GM32" s="164"/>
      <c r="GN32" s="164"/>
      <c r="GO32" s="164"/>
      <c r="GP32" s="164"/>
      <c r="GQ32" s="164"/>
      <c r="GR32" s="164"/>
      <c r="GS32" s="164"/>
      <c r="GT32" s="164"/>
      <c r="GU32" s="164"/>
      <c r="GV32" s="292" t="s">
        <v>262</v>
      </c>
      <c r="GW32" s="293" t="s">
        <v>263</v>
      </c>
      <c r="GX32" s="293" t="s">
        <v>263</v>
      </c>
      <c r="GY32" s="164"/>
      <c r="GZ32" s="164"/>
      <c r="HA32" s="164"/>
      <c r="HB32" s="164"/>
      <c r="HC32" s="164"/>
      <c r="HD32" s="164"/>
      <c r="HE32" s="164"/>
      <c r="HF32" s="164"/>
      <c r="HG32" s="164"/>
      <c r="HH32" s="164"/>
      <c r="HI32" s="164"/>
      <c r="HJ32" s="164"/>
      <c r="HK32" s="164"/>
      <c r="HL32" s="164"/>
      <c r="HM32" s="164"/>
      <c r="HN32" s="164"/>
      <c r="HO32" s="164"/>
      <c r="HP32" s="164"/>
      <c r="HQ32" s="164"/>
      <c r="HR32" s="164"/>
      <c r="HS32" s="164"/>
      <c r="HT32" s="164"/>
      <c r="HU32" s="164"/>
      <c r="HV32" s="164"/>
      <c r="HW32" s="164"/>
      <c r="HX32" s="164"/>
      <c r="HY32" s="164"/>
      <c r="HZ32" s="164"/>
      <c r="IA32" s="164"/>
      <c r="IB32" s="164"/>
      <c r="IC32" s="164"/>
      <c r="ID32" s="164"/>
      <c r="IE32" s="259"/>
      <c r="IL32" s="294" t="s">
        <v>256</v>
      </c>
      <c r="IM32" s="295">
        <f>IM31-IM25-IM26</f>
        <v>25540680.800000001</v>
      </c>
    </row>
    <row r="33" spans="10:247" ht="20.399999999999999" hidden="1" x14ac:dyDescent="0.25">
      <c r="J33" s="25"/>
      <c r="K33" s="25"/>
      <c r="L33" s="25" t="e">
        <f>L31-#REF!</f>
        <v>#REF!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GD33" s="259"/>
      <c r="GE33" s="259"/>
      <c r="GF33" s="259"/>
      <c r="GG33" s="259"/>
      <c r="GH33" s="216"/>
      <c r="GI33" s="216"/>
      <c r="GJ33" s="216"/>
      <c r="GK33" s="297"/>
      <c r="GL33" s="297"/>
      <c r="GM33" s="297"/>
      <c r="GN33" s="297"/>
      <c r="GO33" s="297"/>
      <c r="GP33" s="297"/>
      <c r="GQ33" s="297"/>
      <c r="GR33" s="297"/>
      <c r="GS33" s="297"/>
      <c r="GT33" s="297"/>
      <c r="GU33" s="297"/>
      <c r="GV33" s="296" t="s">
        <v>264</v>
      </c>
      <c r="GW33" s="227">
        <v>40655653.119999997</v>
      </c>
      <c r="GX33" s="227">
        <v>40655653.119999997</v>
      </c>
      <c r="GY33" s="297"/>
      <c r="GZ33" s="297"/>
      <c r="HA33" s="297"/>
      <c r="HB33" s="297"/>
      <c r="HC33" s="297"/>
      <c r="HD33" s="297"/>
      <c r="HE33" s="297"/>
      <c r="HF33" s="297"/>
      <c r="HG33" s="297"/>
      <c r="HH33" s="297"/>
      <c r="HI33" s="297"/>
      <c r="HJ33" s="297"/>
      <c r="HK33" s="297"/>
      <c r="HL33" s="297"/>
      <c r="HM33" s="297"/>
      <c r="HN33" s="297"/>
      <c r="HO33" s="297"/>
      <c r="HP33" s="297"/>
      <c r="HQ33" s="297"/>
      <c r="HR33" s="297"/>
      <c r="HS33" s="297"/>
      <c r="HT33" s="297"/>
      <c r="HU33" s="297"/>
      <c r="HV33" s="297"/>
      <c r="HW33" s="297"/>
      <c r="HX33" s="297"/>
      <c r="HY33" s="297"/>
      <c r="HZ33" s="297"/>
      <c r="IA33" s="297"/>
      <c r="IB33" s="297"/>
      <c r="IC33" s="297"/>
      <c r="ID33" s="297"/>
      <c r="IE33" s="25"/>
      <c r="IM33" s="171" t="s">
        <v>265</v>
      </c>
    </row>
    <row r="34" spans="10:247" x14ac:dyDescent="0.25"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29" t="e">
        <f>AF17+AF29+AF30</f>
        <v>#REF!</v>
      </c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GD34" s="259"/>
      <c r="GE34" s="259"/>
      <c r="GF34" s="259"/>
      <c r="GG34" s="259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98" t="s">
        <v>266</v>
      </c>
      <c r="GW34" s="299">
        <v>29475253.120000001</v>
      </c>
      <c r="GX34" s="299">
        <v>29475253.120000001</v>
      </c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"/>
      <c r="IM34" s="300">
        <v>39423588.359999999</v>
      </c>
    </row>
    <row r="35" spans="10:247" x14ac:dyDescent="0.25"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8"/>
      <c r="CE35" s="258"/>
      <c r="CF35" s="258"/>
      <c r="CG35" s="258"/>
      <c r="CH35" s="258"/>
      <c r="CI35" s="258"/>
      <c r="CJ35" s="258"/>
      <c r="CK35" s="258"/>
      <c r="CL35" s="258"/>
      <c r="CM35" s="258"/>
      <c r="CN35" s="258"/>
      <c r="CO35" s="258"/>
      <c r="CP35" s="258"/>
      <c r="CQ35" s="258"/>
      <c r="CR35" s="258"/>
      <c r="CS35" s="258"/>
      <c r="CT35" s="258"/>
      <c r="CU35" s="258"/>
      <c r="CV35" s="258"/>
      <c r="CW35" s="258"/>
      <c r="CX35" s="258"/>
      <c r="CY35" s="258"/>
      <c r="CZ35" s="258"/>
      <c r="DA35" s="258"/>
      <c r="DB35" s="258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GD35" s="259"/>
      <c r="GE35" s="259"/>
      <c r="GF35" s="259"/>
      <c r="GG35" s="259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98" t="s">
        <v>267</v>
      </c>
      <c r="GW35" s="299">
        <v>4916897.38</v>
      </c>
      <c r="GX35" s="299">
        <v>4916897.38</v>
      </c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"/>
      <c r="IL35" s="301" t="s">
        <v>256</v>
      </c>
      <c r="IM35" s="302">
        <f>IM34-IM25-IM26</f>
        <v>25590680.800000001</v>
      </c>
    </row>
    <row r="36" spans="10:247" x14ac:dyDescent="0.25"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GD36" s="259"/>
      <c r="GE36" s="259"/>
      <c r="GF36" s="259"/>
      <c r="GG36" s="259"/>
      <c r="GH36" s="272"/>
      <c r="GI36" s="272"/>
      <c r="GJ36" s="272"/>
      <c r="GK36" s="272"/>
      <c r="GL36" s="272"/>
      <c r="GM36" s="272"/>
      <c r="GN36" s="272"/>
      <c r="GO36" s="272"/>
      <c r="GP36" s="272"/>
      <c r="GQ36" s="272"/>
      <c r="GR36" s="272"/>
      <c r="GS36" s="272"/>
      <c r="GT36" s="272"/>
      <c r="GU36" s="272"/>
      <c r="GV36" s="304" t="s">
        <v>269</v>
      </c>
      <c r="GW36" s="305">
        <f>GW34-GW35</f>
        <v>24558355.740000002</v>
      </c>
      <c r="GX36" s="305">
        <f>GX34-GX35</f>
        <v>24558355.740000002</v>
      </c>
      <c r="GY36" s="272"/>
      <c r="GZ36" s="272"/>
      <c r="HA36" s="272"/>
      <c r="HB36" s="272"/>
      <c r="HC36" s="272"/>
      <c r="HD36" s="272"/>
      <c r="HE36" s="272"/>
      <c r="HF36" s="272"/>
      <c r="HG36" s="272"/>
      <c r="HH36" s="272"/>
      <c r="HI36" s="272"/>
      <c r="HJ36" s="272"/>
      <c r="HK36" s="272"/>
      <c r="HL36" s="272"/>
      <c r="HM36" s="272"/>
      <c r="HN36" s="272"/>
      <c r="HO36" s="272"/>
      <c r="HP36" s="272"/>
      <c r="HQ36" s="272"/>
      <c r="HR36" s="272"/>
      <c r="HS36" s="272"/>
      <c r="HT36" s="272"/>
      <c r="HU36" s="272"/>
      <c r="HV36" s="272"/>
      <c r="HW36" s="272"/>
      <c r="HX36" s="272"/>
      <c r="HY36" s="272"/>
      <c r="HZ36" s="272"/>
      <c r="IA36" s="272"/>
      <c r="IB36" s="272"/>
      <c r="IC36" s="272"/>
      <c r="ID36" s="272"/>
      <c r="IE36" s="25"/>
    </row>
    <row r="37" spans="10:247" x14ac:dyDescent="0.25"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GD37" s="259"/>
      <c r="GE37" s="259"/>
      <c r="GF37" s="259"/>
      <c r="GG37" s="259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304" t="s">
        <v>271</v>
      </c>
      <c r="GW37" s="299">
        <v>11180400</v>
      </c>
      <c r="GX37" s="299">
        <v>11180400</v>
      </c>
      <c r="GY37" s="250" t="e">
        <f>GW37-#REF!</f>
        <v>#REF!</v>
      </c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"/>
    </row>
    <row r="38" spans="10:247" x14ac:dyDescent="0.25"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GD38" s="259"/>
      <c r="GE38" s="259"/>
      <c r="GF38" s="259"/>
      <c r="GG38" s="259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"/>
      <c r="GW38" s="250">
        <f>GW37+GW34</f>
        <v>40655653.120000005</v>
      </c>
      <c r="GX38" s="250">
        <f>GX37+GX34</f>
        <v>40655653.120000005</v>
      </c>
      <c r="GY38" s="306" t="e">
        <f>GY37/6</f>
        <v>#REF!</v>
      </c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"/>
    </row>
    <row r="39" spans="10:247" x14ac:dyDescent="0.25"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GD39" s="259"/>
      <c r="GE39" s="259"/>
      <c r="GF39" s="259"/>
      <c r="GG39" s="259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"/>
    </row>
    <row r="40" spans="10:247" x14ac:dyDescent="0.25"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GD40" s="259"/>
      <c r="GE40" s="259"/>
      <c r="GF40" s="259"/>
      <c r="GG40" s="259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"/>
      <c r="GW40" s="258">
        <f>GW36-GW27</f>
        <v>-7073644.2599999979</v>
      </c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"/>
    </row>
    <row r="41" spans="10:247" x14ac:dyDescent="0.25"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GD41" s="259"/>
      <c r="GE41" s="259"/>
      <c r="GF41" s="259"/>
      <c r="GG41" s="259"/>
      <c r="GH41" s="258"/>
      <c r="GI41" s="258"/>
      <c r="GJ41" s="258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307" t="s">
        <v>273</v>
      </c>
      <c r="GW41" s="258">
        <f>GW40/6</f>
        <v>-1178940.7099999997</v>
      </c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</row>
    <row r="42" spans="10:247" x14ac:dyDescent="0.25"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GD42" s="259"/>
      <c r="GE42" s="259"/>
      <c r="GF42" s="259"/>
      <c r="GG42" s="259"/>
      <c r="GH42" s="258"/>
      <c r="GI42" s="258"/>
      <c r="GJ42" s="258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308">
        <v>1906883.33</v>
      </c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</row>
    <row r="43" spans="10:247" x14ac:dyDescent="0.25"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8"/>
      <c r="FZ43" s="258"/>
      <c r="GA43" s="258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</row>
    <row r="44" spans="10:247" x14ac:dyDescent="0.25"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8"/>
      <c r="FZ44" s="258"/>
      <c r="GA44" s="258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</row>
    <row r="45" spans="10:247" x14ac:dyDescent="0.25"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181"/>
      <c r="FZ45" s="274" t="s">
        <v>251</v>
      </c>
      <c r="GA45" s="274" t="s">
        <v>252</v>
      </c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</row>
    <row r="46" spans="10:247" x14ac:dyDescent="0.25"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</row>
    <row r="47" spans="10:247" x14ac:dyDescent="0.25"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8"/>
      <c r="CE47" s="258"/>
      <c r="CF47" s="258"/>
      <c r="CG47" s="258"/>
      <c r="CH47" s="258"/>
      <c r="CI47" s="258"/>
      <c r="CJ47" s="258"/>
      <c r="CK47" s="258"/>
      <c r="CL47" s="258"/>
      <c r="CM47" s="258"/>
      <c r="CN47" s="258"/>
      <c r="CO47" s="258"/>
      <c r="CP47" s="258"/>
      <c r="CQ47" s="258"/>
      <c r="CR47" s="258"/>
      <c r="CS47" s="258"/>
      <c r="CT47" s="258"/>
      <c r="CU47" s="258"/>
      <c r="CV47" s="258"/>
      <c r="CW47" s="258"/>
      <c r="CX47" s="258"/>
      <c r="CY47" s="258"/>
      <c r="CZ47" s="258"/>
      <c r="DA47" s="258"/>
      <c r="DB47" s="258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82" t="s">
        <v>257</v>
      </c>
      <c r="FZ47" s="237">
        <v>42399200</v>
      </c>
      <c r="GA47" s="283">
        <f>GA48+GA49+GA50</f>
        <v>42119200</v>
      </c>
      <c r="GB47" s="211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</row>
    <row r="48" spans="10:247" ht="21" x14ac:dyDescent="0.25"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73" t="s">
        <v>239</v>
      </c>
      <c r="FZ48" s="211">
        <v>10745500</v>
      </c>
      <c r="GA48" s="211">
        <v>10487200</v>
      </c>
      <c r="GB48" s="286" t="s">
        <v>259</v>
      </c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</row>
    <row r="49" spans="10:263" ht="30.6" x14ac:dyDescent="0.25"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73" t="s">
        <v>260</v>
      </c>
      <c r="FZ49" s="211">
        <v>8330911.2800000003</v>
      </c>
      <c r="GA49" s="211">
        <v>8330911.2800000003</v>
      </c>
      <c r="GC49" s="25"/>
      <c r="GD49" s="272" t="s">
        <v>213</v>
      </c>
      <c r="GE49" s="272" t="s">
        <v>214</v>
      </c>
      <c r="GF49" s="272" t="s">
        <v>215</v>
      </c>
      <c r="GG49" s="272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0:263" ht="57.6" x14ac:dyDescent="0.25"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80" t="s">
        <v>256</v>
      </c>
      <c r="FZ50" s="281">
        <f>FZ47-FZ48-FZ49</f>
        <v>23322788.719999999</v>
      </c>
      <c r="GA50" s="289">
        <f>FY58</f>
        <v>23301088.719999999</v>
      </c>
      <c r="GB50" s="258">
        <f>GA50-FZ50</f>
        <v>-21700</v>
      </c>
      <c r="GC50" s="25"/>
      <c r="GD50" s="275" t="s">
        <v>253</v>
      </c>
      <c r="GE50" s="275" t="s">
        <v>253</v>
      </c>
      <c r="GF50" s="275" t="s">
        <v>253</v>
      </c>
      <c r="GG50" s="276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0:263" s="2" customFormat="1" x14ac:dyDescent="0.25">
      <c r="J51" s="25"/>
      <c r="K51" s="25"/>
      <c r="CM51" s="1"/>
      <c r="CN51" s="1"/>
      <c r="CO51" s="1"/>
      <c r="DD51" s="1"/>
      <c r="DE51" s="1"/>
      <c r="DF51" s="1"/>
      <c r="DG51" s="1"/>
      <c r="DH51" s="1"/>
      <c r="DI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Y51" s="1"/>
      <c r="FZ51" s="259"/>
      <c r="GA51" s="290">
        <f>GB50/6</f>
        <v>-3616.6666666666665</v>
      </c>
      <c r="GB51" s="291">
        <f>GB50/6</f>
        <v>-3616.6666666666665</v>
      </c>
      <c r="GD51" s="277">
        <v>31653700</v>
      </c>
      <c r="GE51" s="277">
        <v>31632000</v>
      </c>
      <c r="GF51" s="277">
        <v>31632000</v>
      </c>
      <c r="GG51" s="278" t="s">
        <v>255</v>
      </c>
      <c r="IR51" s="483"/>
      <c r="IS51" s="483"/>
      <c r="IT51" s="483"/>
      <c r="IU51" s="483"/>
      <c r="IV51" s="483"/>
      <c r="IW51" s="483"/>
      <c r="IX51" s="483"/>
      <c r="IY51" s="483"/>
      <c r="IZ51" s="483"/>
      <c r="JA51" s="483"/>
      <c r="JB51" s="483"/>
      <c r="JC51" s="483"/>
    </row>
    <row r="52" spans="10:263" s="2" customFormat="1" x14ac:dyDescent="0.25">
      <c r="J52" s="25"/>
      <c r="K52" s="2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25"/>
      <c r="CN52" s="25"/>
      <c r="CO52" s="25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25"/>
      <c r="DE52" s="25"/>
      <c r="DF52" s="25"/>
      <c r="DG52" s="25"/>
      <c r="DH52" s="25"/>
      <c r="DI52" s="25"/>
      <c r="DJ52" s="36"/>
      <c r="DK52" s="36"/>
      <c r="DL52" s="36"/>
      <c r="DM52" s="36"/>
      <c r="DN52" s="36"/>
      <c r="DO52" s="36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36"/>
      <c r="FX52" s="36"/>
      <c r="FY52" s="1"/>
      <c r="FZ52" s="258">
        <f>FZ48-10199150</f>
        <v>546350</v>
      </c>
      <c r="GA52" s="250">
        <f>GA50-GA17</f>
        <v>23301088.719999999</v>
      </c>
      <c r="GB52" s="285"/>
      <c r="GC52" s="36"/>
      <c r="GD52" s="211"/>
      <c r="GE52" s="211"/>
      <c r="GF52" s="249"/>
      <c r="GG52" s="249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R52" s="483"/>
      <c r="IS52" s="483"/>
      <c r="IT52" s="483"/>
      <c r="IU52" s="483"/>
      <c r="IV52" s="483"/>
      <c r="IW52" s="483"/>
      <c r="IX52" s="483"/>
      <c r="IY52" s="483"/>
      <c r="IZ52" s="483"/>
      <c r="JA52" s="483"/>
      <c r="JB52" s="483"/>
      <c r="JC52" s="483"/>
    </row>
    <row r="53" spans="10:263" s="2" customFormat="1" x14ac:dyDescent="0.25">
      <c r="J53" s="25"/>
      <c r="K53" s="2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25"/>
      <c r="CN53" s="25"/>
      <c r="CO53" s="25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25"/>
      <c r="DE53" s="25"/>
      <c r="DF53" s="25"/>
      <c r="DG53" s="25"/>
      <c r="DH53" s="25"/>
      <c r="DI53" s="25"/>
      <c r="DJ53" s="36"/>
      <c r="DK53" s="36"/>
      <c r="DL53" s="36"/>
      <c r="DM53" s="36"/>
      <c r="DN53" s="36"/>
      <c r="DO53" s="36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36"/>
      <c r="FX53" s="36"/>
      <c r="FY53" s="1"/>
      <c r="FZ53" s="259" t="e">
        <f>FZ52/#REF!</f>
        <v>#REF!</v>
      </c>
      <c r="GA53" s="250">
        <f>12.24/6</f>
        <v>2.04</v>
      </c>
      <c r="GB53" s="1"/>
      <c r="GC53" s="36"/>
      <c r="GD53" s="258">
        <f>GA48-FZ48</f>
        <v>-258300</v>
      </c>
      <c r="GE53" s="250">
        <f>GD53/6</f>
        <v>-43050</v>
      </c>
      <c r="GF53" s="250">
        <v>10487860.560000001</v>
      </c>
      <c r="GG53" s="250">
        <f>(GA48-GF53)/6</f>
        <v>-110.09333333342026</v>
      </c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R53" s="483"/>
      <c r="IS53" s="483"/>
      <c r="IT53" s="483"/>
      <c r="IU53" s="483"/>
      <c r="IV53" s="483"/>
      <c r="IW53" s="483"/>
      <c r="IX53" s="483"/>
      <c r="IY53" s="483"/>
      <c r="IZ53" s="483"/>
      <c r="JA53" s="483"/>
      <c r="JB53" s="483"/>
      <c r="JC53" s="483"/>
    </row>
    <row r="54" spans="10:263" s="2" customFormat="1" x14ac:dyDescent="0.25">
      <c r="J54" s="25"/>
      <c r="K54" s="25"/>
      <c r="L54" s="36"/>
      <c r="M54" s="36"/>
      <c r="CM54" s="1"/>
      <c r="CN54" s="1"/>
      <c r="CO54" s="1"/>
      <c r="DD54" s="1"/>
      <c r="DE54" s="1"/>
      <c r="DF54" s="1"/>
      <c r="DG54" s="1"/>
      <c r="DH54" s="1"/>
      <c r="DI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Y54" s="1"/>
      <c r="FZ54" s="1"/>
      <c r="GA54" s="25"/>
      <c r="GB54" s="1"/>
      <c r="GD54" s="259"/>
      <c r="GE54" s="249"/>
      <c r="GF54" s="287">
        <v>10488531.6</v>
      </c>
      <c r="GG54" s="287">
        <f>(GA48-GF54)/6</f>
        <v>-221.93333333327124</v>
      </c>
      <c r="IR54" s="483"/>
      <c r="IS54" s="483"/>
      <c r="IT54" s="483"/>
      <c r="IU54" s="483"/>
      <c r="IV54" s="483"/>
      <c r="IW54" s="483"/>
      <c r="IX54" s="483"/>
      <c r="IY54" s="483"/>
      <c r="IZ54" s="483"/>
      <c r="JA54" s="483"/>
      <c r="JB54" s="483"/>
      <c r="JC54" s="483"/>
    </row>
    <row r="55" spans="10:263" s="2" customFormat="1" x14ac:dyDescent="0.25">
      <c r="J55" s="25"/>
      <c r="K55" s="25"/>
      <c r="L55" s="36"/>
      <c r="M55" s="36"/>
      <c r="CM55" s="1"/>
      <c r="CN55" s="1"/>
      <c r="CO55" s="1"/>
      <c r="DD55" s="1"/>
      <c r="DE55" s="1"/>
      <c r="DF55" s="1"/>
      <c r="DG55" s="1"/>
      <c r="DH55" s="1"/>
      <c r="DI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Y55" s="303" t="s">
        <v>268</v>
      </c>
      <c r="FZ55" s="303" t="s">
        <v>259</v>
      </c>
      <c r="GA55" s="303"/>
      <c r="GB55" s="25"/>
      <c r="GD55" s="258"/>
      <c r="GE55" s="272" t="s">
        <v>213</v>
      </c>
      <c r="GF55" s="272" t="s">
        <v>214</v>
      </c>
      <c r="GG55" s="272"/>
      <c r="IR55" s="483"/>
      <c r="IS55" s="483"/>
      <c r="IT55" s="483"/>
      <c r="IU55" s="483"/>
      <c r="IV55" s="483"/>
      <c r="IW55" s="483"/>
      <c r="IX55" s="483"/>
      <c r="IY55" s="483"/>
      <c r="IZ55" s="483"/>
      <c r="JA55" s="483"/>
      <c r="JB55" s="483"/>
      <c r="JC55" s="483"/>
    </row>
    <row r="56" spans="10:263" s="2" customFormat="1" ht="61.2" x14ac:dyDescent="0.25">
      <c r="J56" s="25"/>
      <c r="K56" s="25"/>
      <c r="L56" s="36"/>
      <c r="M56" s="36"/>
      <c r="CM56" s="1"/>
      <c r="CN56" s="1"/>
      <c r="CO56" s="1"/>
      <c r="DD56" s="1"/>
      <c r="DE56" s="1"/>
      <c r="DF56" s="1"/>
      <c r="DG56" s="1"/>
      <c r="DH56" s="1"/>
      <c r="DI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Y56" s="258">
        <v>31632000</v>
      </c>
      <c r="FZ56" s="258" t="s">
        <v>270</v>
      </c>
      <c r="GA56" s="25"/>
      <c r="GB56" s="25"/>
      <c r="GD56" s="292" t="s">
        <v>262</v>
      </c>
      <c r="GE56" s="293" t="s">
        <v>263</v>
      </c>
      <c r="GF56" s="293" t="s">
        <v>263</v>
      </c>
      <c r="GG56" s="164"/>
      <c r="IR56" s="483"/>
      <c r="IS56" s="483"/>
      <c r="IT56" s="483"/>
      <c r="IU56" s="483"/>
      <c r="IV56" s="483"/>
      <c r="IW56" s="483"/>
      <c r="IX56" s="483"/>
      <c r="IY56" s="483"/>
      <c r="IZ56" s="483"/>
      <c r="JA56" s="483"/>
      <c r="JB56" s="483"/>
      <c r="JC56" s="483"/>
    </row>
    <row r="57" spans="10:263" s="2" customFormat="1" x14ac:dyDescent="0.25">
      <c r="J57" s="25"/>
      <c r="K57" s="25"/>
      <c r="L57" s="36"/>
      <c r="M57" s="36"/>
      <c r="CM57" s="1"/>
      <c r="CN57" s="1"/>
      <c r="CO57" s="1"/>
      <c r="DD57" s="1"/>
      <c r="DE57" s="1"/>
      <c r="DF57" s="1"/>
      <c r="DG57" s="1"/>
      <c r="DH57" s="1"/>
      <c r="DI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Y57" s="258">
        <f>GA49</f>
        <v>8330911.2800000003</v>
      </c>
      <c r="FZ57" s="258" t="s">
        <v>260</v>
      </c>
      <c r="GA57" s="258"/>
      <c r="GB57" s="258"/>
      <c r="GD57" s="296" t="s">
        <v>264</v>
      </c>
      <c r="GE57" s="227">
        <v>40655653.119999997</v>
      </c>
      <c r="GF57" s="227">
        <v>40655653.119999997</v>
      </c>
      <c r="GG57" s="297"/>
      <c r="IR57" s="483"/>
      <c r="IS57" s="483"/>
      <c r="IT57" s="483"/>
      <c r="IU57" s="483"/>
      <c r="IV57" s="483"/>
      <c r="IW57" s="483"/>
      <c r="IX57" s="483"/>
      <c r="IY57" s="483"/>
      <c r="IZ57" s="483"/>
      <c r="JA57" s="483"/>
      <c r="JB57" s="483"/>
      <c r="JC57" s="483"/>
    </row>
    <row r="58" spans="10:263" s="2" customFormat="1" x14ac:dyDescent="0.25">
      <c r="J58" s="25"/>
      <c r="K58" s="25"/>
      <c r="L58" s="36"/>
      <c r="M58" s="36"/>
      <c r="CM58" s="1"/>
      <c r="CN58" s="1"/>
      <c r="CO58" s="1"/>
      <c r="DD58" s="1"/>
      <c r="DE58" s="1"/>
      <c r="DF58" s="1"/>
      <c r="DG58" s="1"/>
      <c r="DH58" s="1"/>
      <c r="DI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Y58" s="303">
        <f>FY56-FY57</f>
        <v>23301088.719999999</v>
      </c>
      <c r="FZ58" s="258" t="s">
        <v>272</v>
      </c>
      <c r="GA58" s="258"/>
      <c r="GB58" s="258"/>
      <c r="GD58" s="298" t="s">
        <v>266</v>
      </c>
      <c r="GE58" s="299">
        <v>29475253.120000001</v>
      </c>
      <c r="GF58" s="299">
        <v>29475253.120000001</v>
      </c>
      <c r="GG58" s="250"/>
      <c r="IR58" s="483"/>
      <c r="IS58" s="483"/>
      <c r="IT58" s="483"/>
      <c r="IU58" s="483"/>
      <c r="IV58" s="483"/>
      <c r="IW58" s="483"/>
      <c r="IX58" s="483"/>
      <c r="IY58" s="483"/>
      <c r="IZ58" s="483"/>
      <c r="JA58" s="483"/>
      <c r="JB58" s="483"/>
      <c r="JC58" s="483"/>
    </row>
    <row r="59" spans="10:263" s="2" customFormat="1" x14ac:dyDescent="0.25">
      <c r="J59" s="25"/>
      <c r="K59" s="25"/>
      <c r="L59" s="36"/>
      <c r="M59" s="36"/>
      <c r="CM59" s="1"/>
      <c r="CN59" s="1"/>
      <c r="CO59" s="1"/>
      <c r="DD59" s="1"/>
      <c r="DE59" s="1"/>
      <c r="DF59" s="1"/>
      <c r="DG59" s="1"/>
      <c r="DH59" s="1"/>
      <c r="DI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Y59" s="258"/>
      <c r="FZ59" s="258"/>
      <c r="GA59" s="258"/>
      <c r="GB59" s="258"/>
      <c r="GD59" s="298" t="s">
        <v>267</v>
      </c>
      <c r="GE59" s="299">
        <v>4916897.38</v>
      </c>
      <c r="GF59" s="299">
        <v>4916897.38</v>
      </c>
      <c r="GG59" s="250"/>
      <c r="IR59" s="483"/>
      <c r="IS59" s="483"/>
      <c r="IT59" s="483"/>
      <c r="IU59" s="483"/>
      <c r="IV59" s="483"/>
      <c r="IW59" s="483"/>
      <c r="IX59" s="483"/>
      <c r="IY59" s="483"/>
      <c r="IZ59" s="483"/>
      <c r="JA59" s="483"/>
      <c r="JB59" s="483"/>
      <c r="JC59" s="483"/>
    </row>
    <row r="60" spans="10:263" s="2" customFormat="1" x14ac:dyDescent="0.25">
      <c r="J60" s="25"/>
      <c r="K60" s="25"/>
      <c r="L60" s="36"/>
      <c r="M60" s="36"/>
      <c r="CM60" s="1"/>
      <c r="CN60" s="1"/>
      <c r="CO60" s="1"/>
      <c r="DD60" s="1"/>
      <c r="DE60" s="1"/>
      <c r="DF60" s="1"/>
      <c r="DG60" s="1"/>
      <c r="DH60" s="1"/>
      <c r="DI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Y60" s="258">
        <f>FZ50-GA50</f>
        <v>21700</v>
      </c>
      <c r="FZ60" s="258"/>
      <c r="GA60" s="258"/>
      <c r="GB60" s="258"/>
      <c r="GD60" s="304" t="s">
        <v>269</v>
      </c>
      <c r="GE60" s="305">
        <f>GE58-GE59</f>
        <v>24558355.740000002</v>
      </c>
      <c r="GF60" s="305">
        <f>GF58-GF59</f>
        <v>24558355.740000002</v>
      </c>
      <c r="GG60" s="272"/>
      <c r="IR60" s="483"/>
      <c r="IS60" s="483"/>
      <c r="IT60" s="483"/>
      <c r="IU60" s="483"/>
      <c r="IV60" s="483"/>
      <c r="IW60" s="483"/>
      <c r="IX60" s="483"/>
      <c r="IY60" s="483"/>
      <c r="IZ60" s="483"/>
      <c r="JA60" s="483"/>
      <c r="JB60" s="483"/>
      <c r="JC60" s="483"/>
    </row>
    <row r="61" spans="10:263" s="2" customFormat="1" x14ac:dyDescent="0.25">
      <c r="J61" s="25"/>
      <c r="K61" s="25"/>
      <c r="CM61" s="1"/>
      <c r="CN61" s="1"/>
      <c r="CO61" s="1"/>
      <c r="DD61" s="1"/>
      <c r="DE61" s="1"/>
      <c r="DF61" s="1"/>
      <c r="DG61" s="1"/>
      <c r="DH61" s="1"/>
      <c r="DI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Y61" s="285" t="e">
        <f>FY60/FX17</f>
        <v>#REF!</v>
      </c>
      <c r="FZ61" s="258" t="s">
        <v>274</v>
      </c>
      <c r="GA61" s="258"/>
      <c r="GB61" s="258"/>
      <c r="GD61" s="304" t="s">
        <v>271</v>
      </c>
      <c r="GE61" s="299">
        <v>11180400</v>
      </c>
      <c r="GF61" s="299">
        <v>11180400</v>
      </c>
      <c r="GG61" s="250" t="e">
        <f>GE61-#REF!</f>
        <v>#REF!</v>
      </c>
      <c r="IR61" s="483"/>
      <c r="IS61" s="483"/>
      <c r="IT61" s="483"/>
      <c r="IU61" s="483"/>
      <c r="IV61" s="483"/>
      <c r="IW61" s="483"/>
      <c r="IX61" s="483"/>
      <c r="IY61" s="483"/>
      <c r="IZ61" s="483"/>
      <c r="JA61" s="483"/>
      <c r="JB61" s="483"/>
      <c r="JC61" s="483"/>
    </row>
    <row r="62" spans="10:263" x14ac:dyDescent="0.25">
      <c r="GD62" s="25"/>
      <c r="GE62" s="250">
        <f>GE61+GE58</f>
        <v>40655653.120000005</v>
      </c>
      <c r="GF62" s="250">
        <f>GF61+GF58</f>
        <v>40655653.120000005</v>
      </c>
      <c r="GG62" s="306" t="e">
        <f>GG61/6</f>
        <v>#REF!</v>
      </c>
    </row>
    <row r="63" spans="10:263" x14ac:dyDescent="0.25">
      <c r="GD63" s="25"/>
      <c r="GE63" s="250"/>
      <c r="GF63" s="250"/>
      <c r="GG63" s="250"/>
    </row>
    <row r="64" spans="10:263" x14ac:dyDescent="0.25">
      <c r="GD64" s="25"/>
      <c r="GE64" s="258">
        <f>GE60-GE51</f>
        <v>-7073644.2599999979</v>
      </c>
      <c r="GF64" s="258"/>
      <c r="GG64" s="258"/>
    </row>
    <row r="65" spans="186:189" x14ac:dyDescent="0.25">
      <c r="GD65" s="307" t="s">
        <v>273</v>
      </c>
      <c r="GE65" s="258">
        <f>GE64/6</f>
        <v>-1178940.7099999997</v>
      </c>
      <c r="GF65" s="25"/>
      <c r="GG65" s="25"/>
    </row>
    <row r="66" spans="186:189" x14ac:dyDescent="0.25">
      <c r="GD66" s="25"/>
      <c r="GE66" s="308">
        <v>1906883.33</v>
      </c>
      <c r="GF66" s="25"/>
      <c r="GG66" s="25"/>
    </row>
  </sheetData>
  <mergeCells count="99">
    <mergeCell ref="IQ7:IQ8"/>
    <mergeCell ref="HU16:HU17"/>
    <mergeCell ref="HV16:HV17"/>
    <mergeCell ref="IB16:IB17"/>
    <mergeCell ref="IC16:IC17"/>
    <mergeCell ref="IK7:IK8"/>
    <mergeCell ref="IL7:IL8"/>
    <mergeCell ref="IM7:IM8"/>
    <mergeCell ref="IN7:IN8"/>
    <mergeCell ref="IO7:IO8"/>
    <mergeCell ref="IP7:IP8"/>
    <mergeCell ref="HY7:HY8"/>
    <mergeCell ref="II7:II8"/>
    <mergeCell ref="IJ7:IJ8"/>
    <mergeCell ref="GH7:GH8"/>
    <mergeCell ref="GL7:GL8"/>
    <mergeCell ref="GM7:GM8"/>
    <mergeCell ref="A24:C24"/>
    <mergeCell ref="BB7:BB8"/>
    <mergeCell ref="BC7:BC8"/>
    <mergeCell ref="BD7:BD8"/>
    <mergeCell ref="BF7:BF8"/>
    <mergeCell ref="AI7:AI8"/>
    <mergeCell ref="AK7:AK8"/>
    <mergeCell ref="AL7:AL8"/>
    <mergeCell ref="AP7:AP8"/>
    <mergeCell ref="AQ7:AQ8"/>
    <mergeCell ref="AT7:AT8"/>
    <mergeCell ref="Y7:Y8"/>
    <mergeCell ref="Z7:Z8"/>
    <mergeCell ref="HR7:HR8"/>
    <mergeCell ref="HZ7:HZ8"/>
    <mergeCell ref="IH7:IH8"/>
    <mergeCell ref="HS7:HS8"/>
    <mergeCell ref="GV7:GV8"/>
    <mergeCell ref="GW7:GW8"/>
    <mergeCell ref="HA7:HA8"/>
    <mergeCell ref="HF7:HF8"/>
    <mergeCell ref="HI7:HI8"/>
    <mergeCell ref="HJ7:HJ8"/>
    <mergeCell ref="HM7:HM8"/>
    <mergeCell ref="HN7:HN8"/>
    <mergeCell ref="HE7:HE8"/>
    <mergeCell ref="BL7:BL8"/>
    <mergeCell ref="HB7:HB8"/>
    <mergeCell ref="DG7:DG8"/>
    <mergeCell ref="FG7:FG8"/>
    <mergeCell ref="DS7:DS8"/>
    <mergeCell ref="DT7:DT8"/>
    <mergeCell ref="ED7:ED8"/>
    <mergeCell ref="EE7:EE8"/>
    <mergeCell ref="EP7:EP8"/>
    <mergeCell ref="EQ7:EQ8"/>
    <mergeCell ref="FB7:FB8"/>
    <mergeCell ref="FC7:FC8"/>
    <mergeCell ref="FD7:FD8"/>
    <mergeCell ref="FE7:FE8"/>
    <mergeCell ref="GC7:GC8"/>
    <mergeCell ref="GG7:GG8"/>
    <mergeCell ref="FF7:FF8"/>
    <mergeCell ref="GQ7:GQ8"/>
    <mergeCell ref="GR7:GR8"/>
    <mergeCell ref="W7:W8"/>
    <mergeCell ref="DH7:DH8"/>
    <mergeCell ref="AU7:AU8"/>
    <mergeCell ref="AX7:AX8"/>
    <mergeCell ref="AY7:AY8"/>
    <mergeCell ref="CD7:CD8"/>
    <mergeCell ref="CE7:CE8"/>
    <mergeCell ref="CF7:CF8"/>
    <mergeCell ref="BG7:BG8"/>
    <mergeCell ref="BH7:BH8"/>
    <mergeCell ref="BJ7:BJ8"/>
    <mergeCell ref="BK7:BK8"/>
    <mergeCell ref="CK7:CK8"/>
    <mergeCell ref="CL7:CL8"/>
    <mergeCell ref="CT7:CT8"/>
    <mergeCell ref="CU7:CU8"/>
    <mergeCell ref="BO7:BO8"/>
    <mergeCell ref="BP7:BP8"/>
    <mergeCell ref="BT7:BT8"/>
    <mergeCell ref="BU7:BU8"/>
    <mergeCell ref="A4:N4"/>
    <mergeCell ref="A7:A8"/>
    <mergeCell ref="B7:B8"/>
    <mergeCell ref="C7:C8"/>
    <mergeCell ref="D7:H7"/>
    <mergeCell ref="I7:I8"/>
    <mergeCell ref="K7:K8"/>
    <mergeCell ref="M7:M8"/>
    <mergeCell ref="AH7:AH8"/>
    <mergeCell ref="Q7:Q8"/>
    <mergeCell ref="R7:R8"/>
    <mergeCell ref="S7:S8"/>
    <mergeCell ref="U7:U8"/>
    <mergeCell ref="V7:V8"/>
    <mergeCell ref="AA7:AA8"/>
    <mergeCell ref="AE7:AE8"/>
    <mergeCell ref="AF7:AF8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workbookViewId="0">
      <selection activeCell="F5" sqref="F5"/>
    </sheetView>
  </sheetViews>
  <sheetFormatPr defaultColWidth="8.88671875" defaultRowHeight="13.8" x14ac:dyDescent="0.25"/>
  <cols>
    <col min="1" max="1" width="19.5546875" style="48" customWidth="1"/>
    <col min="2" max="2" width="29" style="48" customWidth="1"/>
    <col min="3" max="3" width="17.33203125" style="48" customWidth="1"/>
    <col min="4" max="4" width="20.5546875" style="48" customWidth="1"/>
    <col min="5" max="5" width="20.33203125" style="48" customWidth="1"/>
    <col min="6" max="6" width="20.6640625" style="48" customWidth="1"/>
    <col min="7" max="8" width="8.88671875" style="48"/>
    <col min="9" max="9" width="14.6640625" style="48" customWidth="1"/>
    <col min="10" max="10" width="8.88671875" style="48"/>
    <col min="11" max="11" width="12.109375" style="49" customWidth="1"/>
    <col min="12" max="12" width="13.6640625" style="49" customWidth="1"/>
    <col min="13" max="16384" width="8.88671875" style="48"/>
  </cols>
  <sheetData>
    <row r="2" spans="1:20" hidden="1" x14ac:dyDescent="0.25"/>
    <row r="3" spans="1:20" hidden="1" x14ac:dyDescent="0.25">
      <c r="T3" s="48" t="s">
        <v>275</v>
      </c>
    </row>
    <row r="4" spans="1:20" ht="22.2" customHeight="1" x14ac:dyDescent="0.25">
      <c r="F4" s="309" t="s">
        <v>626</v>
      </c>
      <c r="G4" s="50"/>
    </row>
    <row r="6" spans="1:20" ht="40.200000000000003" customHeight="1" x14ac:dyDescent="0.35">
      <c r="A6" s="947" t="s">
        <v>602</v>
      </c>
      <c r="B6" s="947"/>
      <c r="C6" s="947"/>
      <c r="D6" s="947"/>
      <c r="E6" s="947"/>
      <c r="F6" s="51"/>
      <c r="G6" s="51"/>
      <c r="H6" s="51"/>
      <c r="I6" s="51"/>
      <c r="J6" s="51"/>
      <c r="K6" s="310"/>
      <c r="L6" s="310"/>
      <c r="M6" s="51"/>
      <c r="N6" s="51"/>
      <c r="O6" s="51"/>
      <c r="P6" s="51"/>
      <c r="Q6" s="51"/>
      <c r="R6" s="51"/>
      <c r="S6" s="51"/>
    </row>
    <row r="7" spans="1:20" x14ac:dyDescent="0.25">
      <c r="T7" s="75"/>
    </row>
    <row r="8" spans="1:20" x14ac:dyDescent="0.25">
      <c r="A8" s="311" t="s">
        <v>276</v>
      </c>
      <c r="G8" s="75"/>
      <c r="H8" s="75"/>
      <c r="I8" s="75"/>
      <c r="J8" s="75"/>
      <c r="T8" s="75"/>
    </row>
    <row r="10" spans="1:20" ht="44.4" customHeight="1" x14ac:dyDescent="0.25">
      <c r="A10" s="941" t="s">
        <v>2</v>
      </c>
      <c r="B10" s="312" t="s">
        <v>8</v>
      </c>
      <c r="C10" s="941" t="s">
        <v>154</v>
      </c>
      <c r="D10" s="941" t="s">
        <v>345</v>
      </c>
      <c r="E10" s="941" t="s">
        <v>445</v>
      </c>
      <c r="F10" s="941" t="s">
        <v>599</v>
      </c>
    </row>
    <row r="11" spans="1:20" ht="59.4" customHeight="1" x14ac:dyDescent="0.25">
      <c r="A11" s="941"/>
      <c r="B11" s="313" t="s">
        <v>277</v>
      </c>
      <c r="C11" s="941"/>
      <c r="D11" s="941"/>
      <c r="E11" s="941"/>
      <c r="F11" s="941"/>
    </row>
    <row r="12" spans="1:20" ht="25.95" customHeight="1" x14ac:dyDescent="0.25">
      <c r="A12" s="314" t="s">
        <v>18</v>
      </c>
      <c r="B12" s="314" t="s">
        <v>18</v>
      </c>
      <c r="C12" s="314" t="s">
        <v>21</v>
      </c>
      <c r="D12" s="314" t="s">
        <v>21</v>
      </c>
      <c r="E12" s="314" t="s">
        <v>21</v>
      </c>
      <c r="F12" s="314" t="s">
        <v>21</v>
      </c>
    </row>
    <row r="13" spans="1:20" ht="70.2" customHeight="1" x14ac:dyDescent="0.25">
      <c r="A13" s="942" t="s">
        <v>228</v>
      </c>
      <c r="B13" s="319" t="s">
        <v>229</v>
      </c>
      <c r="C13" s="315">
        <f>'прилож.3-ДДТ'!J11</f>
        <v>9113837.9699999988</v>
      </c>
      <c r="D13" s="316">
        <f>C13</f>
        <v>9113837.9699999988</v>
      </c>
      <c r="E13" s="316">
        <f>'прилож.3-ДДТ'!L11</f>
        <v>9113837.9699999988</v>
      </c>
      <c r="F13" s="316">
        <f>'прилож.3-ДДТ'!N11</f>
        <v>9113837.9699999988</v>
      </c>
    </row>
    <row r="14" spans="1:20" ht="55.2" customHeight="1" x14ac:dyDescent="0.25">
      <c r="A14" s="943"/>
      <c r="B14" s="319" t="s">
        <v>231</v>
      </c>
      <c r="C14" s="315">
        <f>'прилож.3-ДДТ'!J12</f>
        <v>9385189.9199999999</v>
      </c>
      <c r="D14" s="316">
        <f t="shared" ref="D14:D17" si="0">C14</f>
        <v>9385189.9199999999</v>
      </c>
      <c r="E14" s="316">
        <f>'прилож.3-ДДТ'!L12</f>
        <v>9385189.9199999999</v>
      </c>
      <c r="F14" s="316">
        <f>'прилож.3-ДДТ'!N12</f>
        <v>9385189.9199999999</v>
      </c>
    </row>
    <row r="15" spans="1:20" ht="67.95" customHeight="1" x14ac:dyDescent="0.25">
      <c r="A15" s="943"/>
      <c r="B15" s="319" t="s">
        <v>232</v>
      </c>
      <c r="C15" s="315">
        <f>'прилож.3-ДДТ'!J13</f>
        <v>3881250.31</v>
      </c>
      <c r="D15" s="316">
        <f t="shared" si="0"/>
        <v>3881250.31</v>
      </c>
      <c r="E15" s="316">
        <f>'прилож.3-ДДТ'!L13</f>
        <v>3881250.31</v>
      </c>
      <c r="F15" s="316">
        <f>'прилож.3-ДДТ'!N13</f>
        <v>3881250.31</v>
      </c>
    </row>
    <row r="16" spans="1:20" ht="58.2" customHeight="1" x14ac:dyDescent="0.25">
      <c r="A16" s="943"/>
      <c r="B16" s="319" t="s">
        <v>233</v>
      </c>
      <c r="C16" s="315">
        <f>'прилож.3-ДДТ'!J14</f>
        <v>10724805</v>
      </c>
      <c r="D16" s="316">
        <f t="shared" si="0"/>
        <v>10724805</v>
      </c>
      <c r="E16" s="316">
        <f>'прилож.3-ДДТ'!L14</f>
        <v>10724805</v>
      </c>
      <c r="F16" s="316">
        <f>'прилож.3-ДДТ'!N14</f>
        <v>10724805</v>
      </c>
    </row>
    <row r="17" spans="1:12" ht="57.6" customHeight="1" x14ac:dyDescent="0.25">
      <c r="A17" s="943"/>
      <c r="B17" s="319" t="s">
        <v>234</v>
      </c>
      <c r="C17" s="315">
        <f>'прилож.3-ДДТ'!J15</f>
        <v>16341444</v>
      </c>
      <c r="D17" s="316">
        <f t="shared" si="0"/>
        <v>16341444</v>
      </c>
      <c r="E17" s="316">
        <f>'прилож.3-ДДТ'!L15</f>
        <v>16341444</v>
      </c>
      <c r="F17" s="316">
        <f>'прилож.3-ДДТ'!N15</f>
        <v>16341444</v>
      </c>
    </row>
    <row r="18" spans="1:12" ht="59.4" customHeight="1" x14ac:dyDescent="0.25">
      <c r="A18" s="944"/>
      <c r="B18" s="319" t="s">
        <v>278</v>
      </c>
      <c r="C18" s="315">
        <f>'прилож.3-ДДТ'!J16</f>
        <v>7111972.7999999998</v>
      </c>
      <c r="D18" s="316">
        <f>C18</f>
        <v>7111972.7999999998</v>
      </c>
      <c r="E18" s="316">
        <f>'прилож.3-ДДТ'!L16</f>
        <v>7111972.7999999998</v>
      </c>
      <c r="F18" s="316">
        <f>'прилож.3-ДДТ'!N16</f>
        <v>7111972.7999999998</v>
      </c>
    </row>
    <row r="19" spans="1:12" ht="21.6" customHeight="1" x14ac:dyDescent="0.25">
      <c r="A19" s="317" t="s">
        <v>237</v>
      </c>
      <c r="B19" s="159" t="s">
        <v>238</v>
      </c>
      <c r="C19" s="154">
        <f>SUM(C13:C18)</f>
        <v>56558500</v>
      </c>
      <c r="D19" s="154">
        <f>SUM(D13:D18)</f>
        <v>56558500</v>
      </c>
      <c r="E19" s="154">
        <f>SUM(E13:E18)</f>
        <v>56558500</v>
      </c>
      <c r="F19" s="154">
        <f>SUM(F13:F18)</f>
        <v>56558500</v>
      </c>
    </row>
    <row r="20" spans="1:12" ht="41.4" customHeight="1" x14ac:dyDescent="0.25">
      <c r="A20" s="486" t="s">
        <v>228</v>
      </c>
      <c r="B20" s="323" t="s">
        <v>240</v>
      </c>
      <c r="C20" s="315">
        <f>'прилож.3-ДДТ'!J18</f>
        <v>0</v>
      </c>
      <c r="D20" s="316">
        <f>C20</f>
        <v>0</v>
      </c>
      <c r="E20" s="316">
        <f>'прилож.3-ДДТ'!L18</f>
        <v>0</v>
      </c>
      <c r="F20" s="316">
        <f>'прилож.3-ДДТ'!N18</f>
        <v>0</v>
      </c>
    </row>
    <row r="21" spans="1:12" ht="22.2" customHeight="1" x14ac:dyDescent="0.25">
      <c r="A21" s="317" t="s">
        <v>242</v>
      </c>
      <c r="B21" s="159" t="s">
        <v>243</v>
      </c>
      <c r="C21" s="154">
        <f>C20</f>
        <v>0</v>
      </c>
      <c r="D21" s="154">
        <f>D20</f>
        <v>0</v>
      </c>
      <c r="E21" s="154">
        <f>E20</f>
        <v>0</v>
      </c>
      <c r="F21" s="154">
        <f>F20</f>
        <v>0</v>
      </c>
      <c r="I21" s="77"/>
      <c r="J21" s="77"/>
      <c r="K21" s="320"/>
      <c r="L21" s="321"/>
    </row>
    <row r="22" spans="1:12" ht="23.4" customHeight="1" x14ac:dyDescent="0.25">
      <c r="A22" s="945" t="s">
        <v>119</v>
      </c>
      <c r="B22" s="946"/>
      <c r="C22" s="154">
        <f>C19+C21</f>
        <v>56558500</v>
      </c>
      <c r="D22" s="154">
        <f>D19+D21</f>
        <v>56558500</v>
      </c>
      <c r="E22" s="154">
        <f>E19+E21</f>
        <v>56558500</v>
      </c>
      <c r="F22" s="154">
        <f>F19+F21</f>
        <v>56558500</v>
      </c>
      <c r="I22" s="77"/>
      <c r="J22" s="77"/>
      <c r="K22" s="320"/>
      <c r="L22" s="78"/>
    </row>
    <row r="23" spans="1:12" x14ac:dyDescent="0.25">
      <c r="I23" s="77"/>
      <c r="J23" s="77"/>
      <c r="K23" s="320"/>
      <c r="L23" s="320"/>
    </row>
    <row r="24" spans="1:12" x14ac:dyDescent="0.25">
      <c r="A24" s="48" t="s">
        <v>78</v>
      </c>
      <c r="I24" s="77"/>
      <c r="J24" s="77"/>
      <c r="K24" s="320"/>
      <c r="L24" s="320"/>
    </row>
    <row r="25" spans="1:12" x14ac:dyDescent="0.25">
      <c r="I25" s="322"/>
      <c r="J25" s="77"/>
      <c r="K25" s="77"/>
      <c r="L25" s="320"/>
    </row>
    <row r="26" spans="1:12" x14ac:dyDescent="0.25">
      <c r="F26" s="75"/>
      <c r="I26" s="322"/>
      <c r="J26" s="77"/>
      <c r="K26" s="78"/>
      <c r="L26" s="320"/>
    </row>
    <row r="27" spans="1:12" x14ac:dyDescent="0.25">
      <c r="I27" s="322"/>
      <c r="J27" s="77"/>
      <c r="K27" s="77"/>
      <c r="L27" s="320"/>
    </row>
    <row r="28" spans="1:12" x14ac:dyDescent="0.25">
      <c r="I28" s="77"/>
      <c r="J28" s="77"/>
      <c r="K28" s="77"/>
      <c r="L28" s="320"/>
    </row>
    <row r="29" spans="1:12" x14ac:dyDescent="0.25">
      <c r="I29" s="78"/>
      <c r="J29" s="77"/>
      <c r="K29" s="320"/>
      <c r="L29" s="320"/>
    </row>
    <row r="30" spans="1:12" x14ac:dyDescent="0.25">
      <c r="I30" s="78"/>
      <c r="J30" s="77"/>
      <c r="K30" s="320"/>
      <c r="L30" s="320"/>
    </row>
    <row r="31" spans="1:12" x14ac:dyDescent="0.25">
      <c r="I31" s="78"/>
      <c r="J31" s="77"/>
      <c r="K31" s="320"/>
      <c r="L31" s="320"/>
    </row>
  </sheetData>
  <mergeCells count="8">
    <mergeCell ref="F10:F11"/>
    <mergeCell ref="A13:A18"/>
    <mergeCell ref="A22:B22"/>
    <mergeCell ref="A6:E6"/>
    <mergeCell ref="A10:A11"/>
    <mergeCell ref="C10:C11"/>
    <mergeCell ref="D10:D11"/>
    <mergeCell ref="E10:E11"/>
  </mergeCells>
  <pageMargins left="0.31496062992125984" right="0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прилож.3-школы</vt:lpstr>
      <vt:lpstr>прилож.4-школы</vt:lpstr>
      <vt:lpstr>прилож.3-сады</vt:lpstr>
      <vt:lpstr>прилож.4-сады</vt:lpstr>
      <vt:lpstr>прилож.3-ДДТ</vt:lpstr>
      <vt:lpstr>прилож.4-ДДТ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2026-01-16T04:46:39Z</dcterms:modified>
</cp:coreProperties>
</file>